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esktop/September Financials/"/>
    </mc:Choice>
  </mc:AlternateContent>
  <xr:revisionPtr revIDLastSave="0" documentId="13_ncr:1_{D89AA2D9-D43E-8949-A795-D726C866AAFE}" xr6:coauthVersionLast="38" xr6:coauthVersionMax="38" xr10:uidLastSave="{00000000-0000-0000-0000-000000000000}"/>
  <bookViews>
    <workbookView xWindow="0" yWindow="460" windowWidth="28800" windowHeight="16600" xr2:uid="{00000000-000D-0000-FFFF-FFFF00000000}"/>
  </bookViews>
  <sheets>
    <sheet name="Sept" sheetId="1" r:id="rId1"/>
    <sheet name="Aug" sheetId="2" r:id="rId2"/>
    <sheet name="July" sheetId="3" r:id="rId3"/>
    <sheet name="June ALT" sheetId="4" r:id="rId4"/>
    <sheet name="June" sheetId="5" r:id="rId5"/>
    <sheet name="May" sheetId="6" r:id="rId6"/>
    <sheet name="Apr" sheetId="7" r:id="rId7"/>
    <sheet name="Mar" sheetId="8" r:id="rId8"/>
    <sheet name="Feb" sheetId="9" r:id="rId9"/>
    <sheet name="Jan" sheetId="10" r:id="rId10"/>
    <sheet name="Budget by Month" sheetId="11" r:id="rId11"/>
    <sheet name="Sheet3" sheetId="12" r:id="rId12"/>
  </sheets>
  <calcPr calcId="179021"/>
</workbook>
</file>

<file path=xl/calcChain.xml><?xml version="1.0" encoding="utf-8"?>
<calcChain xmlns="http://schemas.openxmlformats.org/spreadsheetml/2006/main">
  <c r="C27" i="11" l="1"/>
  <c r="D27" i="11" s="1"/>
  <c r="B27" i="11"/>
  <c r="Q26" i="11"/>
  <c r="P26" i="11"/>
  <c r="L26" i="11" s="1"/>
  <c r="M26" i="11"/>
  <c r="K26" i="11"/>
  <c r="J26" i="11"/>
  <c r="I26" i="11"/>
  <c r="G26" i="11"/>
  <c r="F26" i="11"/>
  <c r="E26" i="11"/>
  <c r="C26" i="11"/>
  <c r="B26" i="11"/>
  <c r="P25" i="11"/>
  <c r="B25" i="11"/>
  <c r="C25" i="11" s="1"/>
  <c r="N24" i="11"/>
  <c r="P23" i="11"/>
  <c r="D23" i="11"/>
  <c r="E23" i="11" s="1"/>
  <c r="F23" i="11" s="1"/>
  <c r="G23" i="11" s="1"/>
  <c r="H23" i="11" s="1"/>
  <c r="I23" i="11" s="1"/>
  <c r="J23" i="11" s="1"/>
  <c r="K23" i="11" s="1"/>
  <c r="L23" i="11" s="1"/>
  <c r="M23" i="11" s="1"/>
  <c r="C23" i="11"/>
  <c r="B23" i="11"/>
  <c r="Q22" i="11"/>
  <c r="P22" i="11" s="1"/>
  <c r="P21" i="11"/>
  <c r="B21" i="11"/>
  <c r="C21" i="11" s="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P20" i="11"/>
  <c r="D20" i="11"/>
  <c r="E20" i="11" s="1"/>
  <c r="F20" i="11" s="1"/>
  <c r="G20" i="11" s="1"/>
  <c r="H20" i="11" s="1"/>
  <c r="I20" i="11" s="1"/>
  <c r="J20" i="11" s="1"/>
  <c r="K20" i="11" s="1"/>
  <c r="L20" i="11" s="1"/>
  <c r="M20" i="11" s="1"/>
  <c r="C20" i="11"/>
  <c r="B20" i="11"/>
  <c r="P19" i="11"/>
  <c r="B19" i="11"/>
  <c r="C19" i="11" s="1"/>
  <c r="D19" i="11" s="1"/>
  <c r="B15" i="11"/>
  <c r="C15" i="11" s="1"/>
  <c r="D15" i="11" s="1"/>
  <c r="C14" i="11"/>
  <c r="D14" i="11" s="1"/>
  <c r="E14" i="11" s="1"/>
  <c r="F14" i="11" s="1"/>
  <c r="B12" i="11"/>
  <c r="C12" i="11" s="1"/>
  <c r="B10" i="11"/>
  <c r="C10" i="11" s="1"/>
  <c r="D10" i="11" s="1"/>
  <c r="E10" i="11" s="1"/>
  <c r="F10" i="11" s="1"/>
  <c r="G10" i="11" s="1"/>
  <c r="H10" i="11" s="1"/>
  <c r="I10" i="11" s="1"/>
  <c r="J10" i="11" s="1"/>
  <c r="K10" i="11" s="1"/>
  <c r="L10" i="11" s="1"/>
  <c r="M10" i="11" s="1"/>
  <c r="B8" i="11"/>
  <c r="C8" i="11" s="1"/>
  <c r="B6" i="1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B5" i="11"/>
  <c r="C5" i="11" s="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B4" i="11"/>
  <c r="C4" i="11" s="1"/>
  <c r="B37" i="10"/>
  <c r="B36" i="10"/>
  <c r="B35" i="10"/>
  <c r="F27" i="10"/>
  <c r="B27" i="10"/>
  <c r="C33" i="10" s="1"/>
  <c r="D26" i="10"/>
  <c r="E26" i="10" s="1"/>
  <c r="C26" i="10"/>
  <c r="D25" i="10"/>
  <c r="E25" i="10" s="1"/>
  <c r="C25" i="10"/>
  <c r="E24" i="10"/>
  <c r="D24" i="10"/>
  <c r="C24" i="10"/>
  <c r="D23" i="10"/>
  <c r="E23" i="10" s="1"/>
  <c r="C23" i="10"/>
  <c r="D22" i="10"/>
  <c r="E22" i="10" s="1"/>
  <c r="C22" i="10"/>
  <c r="D22" i="9" s="1"/>
  <c r="C22" i="8" s="1"/>
  <c r="C22" i="7" s="1"/>
  <c r="C22" i="6" s="1"/>
  <c r="C22" i="5" s="1"/>
  <c r="C21" i="10"/>
  <c r="E20" i="10"/>
  <c r="D20" i="10"/>
  <c r="C20" i="10"/>
  <c r="D19" i="10"/>
  <c r="E19" i="10" s="1"/>
  <c r="F19" i="9" s="1"/>
  <c r="C19" i="10"/>
  <c r="D18" i="10"/>
  <c r="E18" i="10" s="1"/>
  <c r="C18" i="10"/>
  <c r="F15" i="10"/>
  <c r="D30" i="10" s="1"/>
  <c r="B15" i="10"/>
  <c r="C30" i="10" s="1"/>
  <c r="D14" i="10"/>
  <c r="E14" i="10" s="1"/>
  <c r="C14" i="10"/>
  <c r="D14" i="9" s="1"/>
  <c r="E13" i="10"/>
  <c r="D13" i="10"/>
  <c r="C13" i="10"/>
  <c r="E12" i="10"/>
  <c r="D12" i="10"/>
  <c r="C12" i="10"/>
  <c r="D11" i="10"/>
  <c r="E11" i="10" s="1"/>
  <c r="C11" i="10"/>
  <c r="D11" i="9" s="1"/>
  <c r="C11" i="8" s="1"/>
  <c r="D10" i="10"/>
  <c r="E10" i="10" s="1"/>
  <c r="C10" i="10"/>
  <c r="D10" i="9" s="1"/>
  <c r="E9" i="10"/>
  <c r="D9" i="10"/>
  <c r="C9" i="10"/>
  <c r="D8" i="10"/>
  <c r="E8" i="10" s="1"/>
  <c r="C8" i="10"/>
  <c r="D7" i="10"/>
  <c r="E7" i="10" s="1"/>
  <c r="C7" i="10"/>
  <c r="D6" i="10"/>
  <c r="E6" i="10" s="1"/>
  <c r="C6" i="10"/>
  <c r="D6" i="9" s="1"/>
  <c r="E5" i="10"/>
  <c r="D5" i="10"/>
  <c r="C5" i="10"/>
  <c r="E4" i="10"/>
  <c r="D4" i="10"/>
  <c r="C4" i="10"/>
  <c r="D3" i="10"/>
  <c r="C3" i="10"/>
  <c r="C15" i="10" s="1"/>
  <c r="B37" i="9"/>
  <c r="B36" i="9" s="1"/>
  <c r="D36" i="9"/>
  <c r="C36" i="9"/>
  <c r="B35" i="9"/>
  <c r="B39" i="9" s="1"/>
  <c r="D33" i="9"/>
  <c r="G27" i="9"/>
  <c r="B27" i="9"/>
  <c r="E26" i="9"/>
  <c r="F26" i="9" s="1"/>
  <c r="D26" i="9"/>
  <c r="E25" i="9"/>
  <c r="D25" i="9"/>
  <c r="C25" i="8" s="1"/>
  <c r="D24" i="9"/>
  <c r="F23" i="9"/>
  <c r="E23" i="9"/>
  <c r="D23" i="9"/>
  <c r="E22" i="9"/>
  <c r="F22" i="9" s="1"/>
  <c r="E22" i="8" s="1"/>
  <c r="D21" i="9"/>
  <c r="C21" i="8" s="1"/>
  <c r="C21" i="7" s="1"/>
  <c r="C21" i="6" s="1"/>
  <c r="C21" i="5" s="1"/>
  <c r="E20" i="9"/>
  <c r="F20" i="9" s="1"/>
  <c r="D20" i="9"/>
  <c r="E19" i="9"/>
  <c r="D19" i="9"/>
  <c r="G15" i="9"/>
  <c r="E30" i="9" s="1"/>
  <c r="B15" i="9"/>
  <c r="D30" i="9" s="1"/>
  <c r="E14" i="9"/>
  <c r="F14" i="9" s="1"/>
  <c r="E13" i="9"/>
  <c r="F13" i="9" s="1"/>
  <c r="D13" i="9"/>
  <c r="C13" i="8" s="1"/>
  <c r="E12" i="9"/>
  <c r="F12" i="9" s="1"/>
  <c r="D12" i="9"/>
  <c r="F10" i="9"/>
  <c r="E10" i="9"/>
  <c r="E9" i="9"/>
  <c r="F9" i="9" s="1"/>
  <c r="D9" i="9"/>
  <c r="C9" i="8" s="1"/>
  <c r="E8" i="9"/>
  <c r="D8" i="9"/>
  <c r="D7" i="9"/>
  <c r="C7" i="8" s="1"/>
  <c r="C7" i="7" s="1"/>
  <c r="E6" i="9"/>
  <c r="F6" i="9" s="1"/>
  <c r="E6" i="8" s="1"/>
  <c r="E5" i="9"/>
  <c r="F5" i="9" s="1"/>
  <c r="D5" i="9"/>
  <c r="C5" i="8" s="1"/>
  <c r="E4" i="9"/>
  <c r="D4" i="9"/>
  <c r="C4" i="8" s="1"/>
  <c r="C39" i="8"/>
  <c r="C41" i="8" s="1"/>
  <c r="B37" i="8"/>
  <c r="B36" i="8"/>
  <c r="B41" i="8" s="1"/>
  <c r="C43" i="8" s="1"/>
  <c r="I35" i="8"/>
  <c r="F27" i="8"/>
  <c r="B27" i="8"/>
  <c r="C33" i="8" s="1"/>
  <c r="C26" i="8"/>
  <c r="C24" i="8"/>
  <c r="C24" i="7" s="1"/>
  <c r="C24" i="6" s="1"/>
  <c r="C24" i="5" s="1"/>
  <c r="D23" i="8"/>
  <c r="C23" i="8"/>
  <c r="D22" i="8"/>
  <c r="E20" i="8"/>
  <c r="D20" i="8"/>
  <c r="C20" i="8"/>
  <c r="D19" i="8"/>
  <c r="C19" i="8"/>
  <c r="C19" i="7" s="1"/>
  <c r="C19" i="6" s="1"/>
  <c r="C19" i="5" s="1"/>
  <c r="F15" i="8"/>
  <c r="D30" i="8" s="1"/>
  <c r="B15" i="8"/>
  <c r="C30" i="8" s="1"/>
  <c r="C14" i="8"/>
  <c r="D13" i="8"/>
  <c r="E13" i="8" s="1"/>
  <c r="E13" i="7" s="1"/>
  <c r="E13" i="6" s="1"/>
  <c r="E4" i="4" s="1"/>
  <c r="D12" i="8"/>
  <c r="E12" i="8" s="1"/>
  <c r="E12" i="7" s="1"/>
  <c r="E12" i="6" s="1"/>
  <c r="C12" i="8"/>
  <c r="E10" i="8"/>
  <c r="D10" i="8"/>
  <c r="C10" i="8"/>
  <c r="D9" i="8"/>
  <c r="D8" i="8"/>
  <c r="C8" i="8"/>
  <c r="D6" i="8"/>
  <c r="C6" i="8"/>
  <c r="C6" i="7" s="1"/>
  <c r="D5" i="8"/>
  <c r="E5" i="8" s="1"/>
  <c r="D4" i="8"/>
  <c r="B37" i="7"/>
  <c r="B36" i="7" s="1"/>
  <c r="B41" i="7" s="1"/>
  <c r="D35" i="7"/>
  <c r="B27" i="7"/>
  <c r="C33" i="7" s="1"/>
  <c r="C26" i="7"/>
  <c r="C26" i="6" s="1"/>
  <c r="C26" i="5" s="1"/>
  <c r="D25" i="7"/>
  <c r="C25" i="7"/>
  <c r="F23" i="7"/>
  <c r="D23" i="7"/>
  <c r="C23" i="7"/>
  <c r="D22" i="7"/>
  <c r="D20" i="7"/>
  <c r="E20" i="7" s="1"/>
  <c r="C20" i="7"/>
  <c r="D19" i="7"/>
  <c r="F15" i="7"/>
  <c r="D30" i="7" s="1"/>
  <c r="B15" i="7"/>
  <c r="C30" i="7" s="1"/>
  <c r="C34" i="7" s="1"/>
  <c r="F14" i="7"/>
  <c r="C14" i="7"/>
  <c r="F13" i="7"/>
  <c r="D13" i="7"/>
  <c r="C13" i="7"/>
  <c r="C13" i="6" s="1"/>
  <c r="F12" i="7"/>
  <c r="D12" i="7"/>
  <c r="C12" i="7"/>
  <c r="F11" i="7"/>
  <c r="C11" i="7"/>
  <c r="F10" i="7"/>
  <c r="E10" i="7"/>
  <c r="D10" i="7"/>
  <c r="C10" i="7"/>
  <c r="B10" i="7"/>
  <c r="F9" i="7"/>
  <c r="D9" i="7"/>
  <c r="C9" i="7"/>
  <c r="F8" i="7"/>
  <c r="D8" i="7"/>
  <c r="C8" i="7"/>
  <c r="F7" i="7"/>
  <c r="F6" i="7"/>
  <c r="D6" i="7"/>
  <c r="F5" i="7"/>
  <c r="D5" i="7"/>
  <c r="C5" i="7"/>
  <c r="F4" i="7"/>
  <c r="D4" i="7"/>
  <c r="B4" i="7"/>
  <c r="F3" i="7"/>
  <c r="C38" i="6"/>
  <c r="B37" i="6"/>
  <c r="B36" i="6"/>
  <c r="C33" i="6"/>
  <c r="B27" i="6"/>
  <c r="D25" i="6"/>
  <c r="C25" i="6"/>
  <c r="F23" i="6"/>
  <c r="D23" i="6"/>
  <c r="C23" i="6"/>
  <c r="D22" i="6"/>
  <c r="B21" i="6"/>
  <c r="D20" i="6"/>
  <c r="E20" i="6" s="1"/>
  <c r="C20" i="6"/>
  <c r="D19" i="6"/>
  <c r="F15" i="6"/>
  <c r="B15" i="6"/>
  <c r="C30" i="6" s="1"/>
  <c r="F14" i="6"/>
  <c r="C14" i="6"/>
  <c r="F13" i="6"/>
  <c r="D13" i="6"/>
  <c r="F12" i="6"/>
  <c r="D12" i="6"/>
  <c r="C12" i="6"/>
  <c r="F11" i="6"/>
  <c r="C11" i="6"/>
  <c r="C14" i="4" s="1"/>
  <c r="F10" i="6"/>
  <c r="E10" i="6"/>
  <c r="D10" i="6"/>
  <c r="C10" i="6"/>
  <c r="F9" i="6"/>
  <c r="D9" i="6"/>
  <c r="C9" i="6"/>
  <c r="F8" i="6"/>
  <c r="D8" i="6"/>
  <c r="C8" i="6"/>
  <c r="F7" i="6"/>
  <c r="C7" i="6"/>
  <c r="F6" i="6"/>
  <c r="D6" i="6"/>
  <c r="C6" i="6"/>
  <c r="F5" i="6"/>
  <c r="D5" i="6"/>
  <c r="C5" i="6"/>
  <c r="C13" i="4" s="1"/>
  <c r="C13" i="3" s="1"/>
  <c r="C13" i="2" s="1"/>
  <c r="C13" i="1" s="1"/>
  <c r="F4" i="6"/>
  <c r="D4" i="6"/>
  <c r="F3" i="6"/>
  <c r="B41" i="5"/>
  <c r="D35" i="5"/>
  <c r="C33" i="5"/>
  <c r="B27" i="5"/>
  <c r="D25" i="5"/>
  <c r="C25" i="5"/>
  <c r="F23" i="5"/>
  <c r="D23" i="5"/>
  <c r="C23" i="5"/>
  <c r="D22" i="5"/>
  <c r="B22" i="5"/>
  <c r="D20" i="5"/>
  <c r="E20" i="5" s="1"/>
  <c r="C20" i="5"/>
  <c r="D19" i="5"/>
  <c r="F15" i="5"/>
  <c r="B15" i="5"/>
  <c r="C30" i="5" s="1"/>
  <c r="C34" i="5" s="1"/>
  <c r="F14" i="5"/>
  <c r="C14" i="5"/>
  <c r="F13" i="5"/>
  <c r="D13" i="5"/>
  <c r="F12" i="5"/>
  <c r="E12" i="5"/>
  <c r="D12" i="5"/>
  <c r="F11" i="5"/>
  <c r="C11" i="5"/>
  <c r="F10" i="5"/>
  <c r="E10" i="5"/>
  <c r="D10" i="5"/>
  <c r="C10" i="5"/>
  <c r="F9" i="5"/>
  <c r="D9" i="5"/>
  <c r="C9" i="5"/>
  <c r="F8" i="5"/>
  <c r="D8" i="5"/>
  <c r="F7" i="5"/>
  <c r="C7" i="5"/>
  <c r="F6" i="5"/>
  <c r="D6" i="5"/>
  <c r="C6" i="5"/>
  <c r="F5" i="5"/>
  <c r="D5" i="5"/>
  <c r="F4" i="5"/>
  <c r="D4" i="5"/>
  <c r="F3" i="5"/>
  <c r="B52" i="4"/>
  <c r="D46" i="4"/>
  <c r="B35" i="4"/>
  <c r="C34" i="4"/>
  <c r="D33" i="4"/>
  <c r="D32" i="4"/>
  <c r="C32" i="4"/>
  <c r="B32" i="4"/>
  <c r="B30" i="4"/>
  <c r="B37" i="4" s="1"/>
  <c r="C43" i="4" s="1"/>
  <c r="D29" i="4"/>
  <c r="C29" i="4"/>
  <c r="C27" i="3" s="1"/>
  <c r="F27" i="4"/>
  <c r="D27" i="4"/>
  <c r="C27" i="4"/>
  <c r="C25" i="3" s="1"/>
  <c r="C25" i="2" s="1"/>
  <c r="C25" i="1" s="1"/>
  <c r="C26" i="4"/>
  <c r="C24" i="3" s="1"/>
  <c r="E25" i="4"/>
  <c r="D25" i="4"/>
  <c r="C25" i="4"/>
  <c r="B19" i="4"/>
  <c r="F18" i="4"/>
  <c r="C18" i="4"/>
  <c r="F17" i="4"/>
  <c r="E17" i="4"/>
  <c r="D17" i="4"/>
  <c r="I14" i="4"/>
  <c r="F14" i="4"/>
  <c r="F13" i="4"/>
  <c r="D13" i="4"/>
  <c r="F12" i="4"/>
  <c r="D12" i="4"/>
  <c r="F11" i="4"/>
  <c r="F19" i="4" s="1"/>
  <c r="F9" i="4"/>
  <c r="B9" i="4"/>
  <c r="F8" i="4"/>
  <c r="D8" i="4"/>
  <c r="C8" i="4"/>
  <c r="F7" i="4"/>
  <c r="E7" i="4"/>
  <c r="D7" i="4"/>
  <c r="C7" i="4"/>
  <c r="F6" i="4"/>
  <c r="D6" i="4"/>
  <c r="F5" i="4"/>
  <c r="C5" i="4"/>
  <c r="F4" i="4"/>
  <c r="D4" i="4"/>
  <c r="F3" i="4"/>
  <c r="D3" i="4"/>
  <c r="C3" i="4"/>
  <c r="B50" i="3"/>
  <c r="C47" i="3"/>
  <c r="D44" i="3"/>
  <c r="B33" i="3"/>
  <c r="C32" i="3"/>
  <c r="D31" i="3"/>
  <c r="D30" i="3"/>
  <c r="C30" i="3"/>
  <c r="B28" i="3"/>
  <c r="F25" i="3"/>
  <c r="D25" i="3"/>
  <c r="D23" i="3"/>
  <c r="E23" i="3" s="1"/>
  <c r="C23" i="3"/>
  <c r="B17" i="3"/>
  <c r="F16" i="3"/>
  <c r="C16" i="3"/>
  <c r="F15" i="3"/>
  <c r="E15" i="3"/>
  <c r="D15" i="3"/>
  <c r="F14" i="3"/>
  <c r="C14" i="3"/>
  <c r="F13" i="3"/>
  <c r="D13" i="3"/>
  <c r="F12" i="3"/>
  <c r="D12" i="3"/>
  <c r="F11" i="3"/>
  <c r="F17" i="3" s="1"/>
  <c r="B9" i="3"/>
  <c r="B19" i="3" s="1"/>
  <c r="C38" i="3" s="1"/>
  <c r="F8" i="3"/>
  <c r="D8" i="3"/>
  <c r="C8" i="3"/>
  <c r="F7" i="3"/>
  <c r="D7" i="3"/>
  <c r="E7" i="3" s="1"/>
  <c r="C7" i="3"/>
  <c r="F6" i="3"/>
  <c r="D6" i="3"/>
  <c r="F5" i="3"/>
  <c r="C5" i="3"/>
  <c r="F4" i="3"/>
  <c r="D4" i="3"/>
  <c r="F3" i="3"/>
  <c r="D3" i="3"/>
  <c r="C3" i="3"/>
  <c r="B50" i="2"/>
  <c r="C47" i="2"/>
  <c r="C50" i="2" s="1"/>
  <c r="C52" i="2" s="1"/>
  <c r="D44" i="2"/>
  <c r="B33" i="2"/>
  <c r="C32" i="2"/>
  <c r="D31" i="2"/>
  <c r="D30" i="2"/>
  <c r="C30" i="2"/>
  <c r="B28" i="2"/>
  <c r="B35" i="2" s="1"/>
  <c r="C41" i="2" s="1"/>
  <c r="D27" i="2"/>
  <c r="C27" i="2"/>
  <c r="C27" i="1" s="1"/>
  <c r="F25" i="2"/>
  <c r="D25" i="2"/>
  <c r="C24" i="2"/>
  <c r="C24" i="1" s="1"/>
  <c r="D23" i="2"/>
  <c r="E23" i="2" s="1"/>
  <c r="C23" i="2"/>
  <c r="C23" i="1" s="1"/>
  <c r="B17" i="2"/>
  <c r="F16" i="2"/>
  <c r="C16" i="2"/>
  <c r="F15" i="2"/>
  <c r="E15" i="2"/>
  <c r="D15" i="2"/>
  <c r="F14" i="2"/>
  <c r="C14" i="2"/>
  <c r="F13" i="2"/>
  <c r="D13" i="2"/>
  <c r="F12" i="2"/>
  <c r="D12" i="2"/>
  <c r="F11" i="2"/>
  <c r="F17" i="2" s="1"/>
  <c r="B9" i="2"/>
  <c r="B19" i="2" s="1"/>
  <c r="C38" i="2" s="1"/>
  <c r="C43" i="2" s="1"/>
  <c r="F8" i="2"/>
  <c r="D8" i="2"/>
  <c r="C8" i="2"/>
  <c r="F7" i="2"/>
  <c r="D7" i="2"/>
  <c r="C7" i="2"/>
  <c r="F6" i="2"/>
  <c r="D6" i="2"/>
  <c r="F5" i="2"/>
  <c r="C5" i="2"/>
  <c r="F4" i="2"/>
  <c r="D4" i="2"/>
  <c r="F3" i="2"/>
  <c r="D3" i="2"/>
  <c r="C3" i="2"/>
  <c r="B52" i="1"/>
  <c r="B54" i="1" s="1"/>
  <c r="B49" i="1"/>
  <c r="C46" i="1"/>
  <c r="B33" i="1"/>
  <c r="C32" i="1"/>
  <c r="D31" i="1"/>
  <c r="D30" i="1"/>
  <c r="C30" i="1"/>
  <c r="B28" i="1"/>
  <c r="D27" i="1"/>
  <c r="F25" i="1"/>
  <c r="D25" i="1"/>
  <c r="D23" i="1"/>
  <c r="E23" i="1" s="1"/>
  <c r="F16" i="1"/>
  <c r="C16" i="1"/>
  <c r="F15" i="1"/>
  <c r="D15" i="1"/>
  <c r="E15" i="1" s="1"/>
  <c r="F14" i="1"/>
  <c r="C14" i="1"/>
  <c r="F13" i="1"/>
  <c r="D13" i="1"/>
  <c r="F12" i="1"/>
  <c r="D12" i="1"/>
  <c r="B12" i="1"/>
  <c r="B17" i="1" s="1"/>
  <c r="F11" i="1"/>
  <c r="B9" i="1"/>
  <c r="F8" i="1"/>
  <c r="D8" i="1"/>
  <c r="C8" i="1"/>
  <c r="F7" i="1"/>
  <c r="D7" i="1"/>
  <c r="C7" i="1"/>
  <c r="F6" i="1"/>
  <c r="D6" i="1"/>
  <c r="F5" i="1"/>
  <c r="C5" i="1"/>
  <c r="F4" i="1"/>
  <c r="D4" i="1"/>
  <c r="F3" i="1"/>
  <c r="D3" i="1"/>
  <c r="C3" i="1"/>
  <c r="B35" i="1" l="1"/>
  <c r="C39" i="1" s="1"/>
  <c r="F9" i="1"/>
  <c r="F17" i="1"/>
  <c r="B19" i="1"/>
  <c r="C38" i="1" s="1"/>
  <c r="C49" i="1" s="1"/>
  <c r="C9" i="2"/>
  <c r="C8" i="5"/>
  <c r="C6" i="4"/>
  <c r="C6" i="3" s="1"/>
  <c r="C6" i="2" s="1"/>
  <c r="C6" i="1" s="1"/>
  <c r="C5" i="5"/>
  <c r="E13" i="5"/>
  <c r="B41" i="6"/>
  <c r="C43" i="6" s="1"/>
  <c r="D35" i="6"/>
  <c r="C49" i="4"/>
  <c r="C38" i="5"/>
  <c r="C41" i="5" s="1"/>
  <c r="F9" i="2"/>
  <c r="F19" i="2" s="1"/>
  <c r="F9" i="3"/>
  <c r="F19" i="3" s="1"/>
  <c r="E9" i="7"/>
  <c r="E9" i="6" s="1"/>
  <c r="C13" i="5"/>
  <c r="C4" i="4"/>
  <c r="C4" i="3" s="1"/>
  <c r="C4" i="2" s="1"/>
  <c r="C4" i="1" s="1"/>
  <c r="C12" i="5"/>
  <c r="C17" i="4"/>
  <c r="C15" i="3" s="1"/>
  <c r="C15" i="2" s="1"/>
  <c r="C15" i="1" s="1"/>
  <c r="E4" i="3"/>
  <c r="E4" i="2" s="1"/>
  <c r="E4" i="1" s="1"/>
  <c r="C28" i="4"/>
  <c r="C26" i="3" s="1"/>
  <c r="C26" i="2" s="1"/>
  <c r="C26" i="1" s="1"/>
  <c r="C33" i="4"/>
  <c r="C34" i="6"/>
  <c r="C41" i="6"/>
  <c r="E6" i="7"/>
  <c r="E6" i="6" s="1"/>
  <c r="B21" i="4"/>
  <c r="C40" i="4" s="1"/>
  <c r="C45" i="4" s="1"/>
  <c r="C35" i="4"/>
  <c r="C9" i="4"/>
  <c r="C43" i="5"/>
  <c r="C4" i="7"/>
  <c r="C4" i="6" s="1"/>
  <c r="E5" i="7"/>
  <c r="E5" i="6" s="1"/>
  <c r="E5" i="5" s="1"/>
  <c r="E22" i="7"/>
  <c r="E22" i="6" s="1"/>
  <c r="E9" i="8"/>
  <c r="I33" i="8"/>
  <c r="I34" i="8" s="1"/>
  <c r="I36" i="8" s="1"/>
  <c r="I38" i="8" s="1"/>
  <c r="C34" i="8"/>
  <c r="B35" i="3"/>
  <c r="C41" i="3" s="1"/>
  <c r="C50" i="3" s="1"/>
  <c r="C52" i="3" s="1"/>
  <c r="F21" i="4"/>
  <c r="C38" i="7"/>
  <c r="C41" i="7" s="1"/>
  <c r="C43" i="7" s="1"/>
  <c r="F4" i="9"/>
  <c r="E4" i="8" s="1"/>
  <c r="E4" i="7" s="1"/>
  <c r="E4" i="6" s="1"/>
  <c r="E18" i="9"/>
  <c r="D12" i="11"/>
  <c r="E11" i="9"/>
  <c r="F11" i="9" s="1"/>
  <c r="N23" i="11"/>
  <c r="E23" i="8"/>
  <c r="E23" i="7" s="1"/>
  <c r="E23" i="6" s="1"/>
  <c r="D35" i="8"/>
  <c r="D3" i="9"/>
  <c r="F8" i="9"/>
  <c r="E8" i="8" s="1"/>
  <c r="E8" i="7" s="1"/>
  <c r="E8" i="6" s="1"/>
  <c r="F25" i="9"/>
  <c r="N20" i="11"/>
  <c r="D25" i="11"/>
  <c r="E24" i="9"/>
  <c r="F24" i="9" s="1"/>
  <c r="D8" i="11"/>
  <c r="E7" i="9"/>
  <c r="F7" i="9" s="1"/>
  <c r="D14" i="8"/>
  <c r="E14" i="8" s="1"/>
  <c r="E15" i="11"/>
  <c r="E19" i="8"/>
  <c r="E19" i="7" s="1"/>
  <c r="E19" i="6" s="1"/>
  <c r="D15" i="10"/>
  <c r="E3" i="10"/>
  <c r="E15" i="10" s="1"/>
  <c r="C27" i="10"/>
  <c r="D18" i="9"/>
  <c r="D4" i="11"/>
  <c r="E3" i="9"/>
  <c r="D18" i="8"/>
  <c r="E19" i="11"/>
  <c r="J22" i="11"/>
  <c r="D24" i="1" s="1"/>
  <c r="F22" i="11"/>
  <c r="B22" i="11"/>
  <c r="M22" i="11"/>
  <c r="I22" i="11"/>
  <c r="E22" i="11"/>
  <c r="D21" i="7" s="1"/>
  <c r="L22" i="11"/>
  <c r="H22" i="11"/>
  <c r="D24" i="3" s="1"/>
  <c r="D22" i="11"/>
  <c r="D21" i="8" s="1"/>
  <c r="K22" i="11"/>
  <c r="G22" i="11"/>
  <c r="C22" i="11"/>
  <c r="E21" i="9" s="1"/>
  <c r="E27" i="11"/>
  <c r="D26" i="8"/>
  <c r="E26" i="8" s="1"/>
  <c r="N21" i="11"/>
  <c r="D26" i="11"/>
  <c r="D25" i="8" s="1"/>
  <c r="E25" i="8" s="1"/>
  <c r="E25" i="7" s="1"/>
  <c r="E25" i="6" s="1"/>
  <c r="H26" i="11"/>
  <c r="D27" i="3" s="1"/>
  <c r="F19" i="1" l="1"/>
  <c r="C9" i="1"/>
  <c r="C40" i="1"/>
  <c r="E33" i="4"/>
  <c r="E31" i="3" s="1"/>
  <c r="E31" i="2" s="1"/>
  <c r="E31" i="1" s="1"/>
  <c r="E19" i="5"/>
  <c r="E6" i="4"/>
  <c r="E6" i="3" s="1"/>
  <c r="E8" i="5"/>
  <c r="E25" i="5"/>
  <c r="E29" i="4"/>
  <c r="E23" i="5"/>
  <c r="E27" i="4"/>
  <c r="E25" i="3" s="1"/>
  <c r="E25" i="2" s="1"/>
  <c r="E25" i="1" s="1"/>
  <c r="E4" i="5"/>
  <c r="E12" i="4"/>
  <c r="E12" i="3" s="1"/>
  <c r="D27" i="9"/>
  <c r="C18" i="8"/>
  <c r="C12" i="4"/>
  <c r="C12" i="3" s="1"/>
  <c r="C12" i="2" s="1"/>
  <c r="C12" i="1" s="1"/>
  <c r="C4" i="5"/>
  <c r="C43" i="3"/>
  <c r="E13" i="4"/>
  <c r="E13" i="3" s="1"/>
  <c r="N26" i="11"/>
  <c r="E4" i="11"/>
  <c r="D3" i="8"/>
  <c r="E9" i="5"/>
  <c r="E3" i="4"/>
  <c r="D26" i="4"/>
  <c r="D21" i="5"/>
  <c r="N22" i="11"/>
  <c r="D21" i="10"/>
  <c r="E8" i="11"/>
  <c r="D7" i="8"/>
  <c r="E7" i="8" s="1"/>
  <c r="C52" i="4"/>
  <c r="C54" i="4" s="1"/>
  <c r="E27" i="3"/>
  <c r="E27" i="2" s="1"/>
  <c r="E27" i="1" s="1"/>
  <c r="F32" i="4"/>
  <c r="F22" i="6"/>
  <c r="F22" i="5"/>
  <c r="F30" i="3"/>
  <c r="F22" i="7"/>
  <c r="F30" i="1"/>
  <c r="F30" i="2"/>
  <c r="E8" i="4"/>
  <c r="E8" i="3" s="1"/>
  <c r="E6" i="5"/>
  <c r="F19" i="11"/>
  <c r="D18" i="7"/>
  <c r="E25" i="11"/>
  <c r="D24" i="8"/>
  <c r="E24" i="8" s="1"/>
  <c r="D15" i="9"/>
  <c r="C3" i="8"/>
  <c r="D27" i="8"/>
  <c r="D33" i="8" s="1"/>
  <c r="F33" i="4"/>
  <c r="F31" i="3"/>
  <c r="F31" i="1"/>
  <c r="F19" i="7"/>
  <c r="F19" i="6"/>
  <c r="F31" i="2"/>
  <c r="F19" i="5"/>
  <c r="E12" i="11"/>
  <c r="D11" i="8"/>
  <c r="E11" i="8" s="1"/>
  <c r="F25" i="4"/>
  <c r="F20" i="6"/>
  <c r="F20" i="5"/>
  <c r="F23" i="2"/>
  <c r="F23" i="3"/>
  <c r="F23" i="1"/>
  <c r="F20" i="7"/>
  <c r="F27" i="11"/>
  <c r="D26" i="7"/>
  <c r="E26" i="7" s="1"/>
  <c r="D21" i="6"/>
  <c r="D24" i="2"/>
  <c r="F3" i="9"/>
  <c r="F15" i="9" s="1"/>
  <c r="E15" i="9"/>
  <c r="F15" i="11"/>
  <c r="D14" i="7"/>
  <c r="E14" i="7" s="1"/>
  <c r="E27" i="9"/>
  <c r="E33" i="9" s="1"/>
  <c r="F18" i="9"/>
  <c r="E18" i="8" s="1"/>
  <c r="E22" i="5"/>
  <c r="E32" i="4"/>
  <c r="C31" i="1"/>
  <c r="C33" i="1" s="1"/>
  <c r="C31" i="3"/>
  <c r="C33" i="3" s="1"/>
  <c r="C31" i="2"/>
  <c r="C33" i="2" s="1"/>
  <c r="C9" i="3"/>
  <c r="F25" i="11" l="1"/>
  <c r="D24" i="7"/>
  <c r="E24" i="7" s="1"/>
  <c r="E30" i="3"/>
  <c r="G27" i="11"/>
  <c r="D26" i="6"/>
  <c r="E26" i="6" s="1"/>
  <c r="D32" i="2"/>
  <c r="G19" i="11"/>
  <c r="D18" i="6"/>
  <c r="D22" i="2"/>
  <c r="E21" i="10"/>
  <c r="F21" i="9" s="1"/>
  <c r="E21" i="8" s="1"/>
  <c r="E21" i="7" s="1"/>
  <c r="E21" i="6" s="1"/>
  <c r="D27" i="10"/>
  <c r="D33" i="10" s="1"/>
  <c r="E13" i="2"/>
  <c r="E13" i="1" s="1"/>
  <c r="E7" i="2"/>
  <c r="C27" i="8"/>
  <c r="C18" i="7"/>
  <c r="E12" i="2"/>
  <c r="E12" i="1" s="1"/>
  <c r="E6" i="2"/>
  <c r="C3" i="7"/>
  <c r="C15" i="8"/>
  <c r="D27" i="7"/>
  <c r="D33" i="7" s="1"/>
  <c r="E18" i="7"/>
  <c r="F8" i="11"/>
  <c r="D7" i="7"/>
  <c r="E7" i="7" s="1"/>
  <c r="F25" i="7"/>
  <c r="F25" i="6"/>
  <c r="F25" i="5"/>
  <c r="F29" i="4"/>
  <c r="F27" i="2"/>
  <c r="F27" i="3"/>
  <c r="F27" i="1"/>
  <c r="G15" i="11"/>
  <c r="D14" i="6"/>
  <c r="E14" i="6" s="1"/>
  <c r="F12" i="11"/>
  <c r="D11" i="7"/>
  <c r="E11" i="7" s="1"/>
  <c r="R22" i="11"/>
  <c r="F21" i="6"/>
  <c r="F26" i="4"/>
  <c r="F24" i="2"/>
  <c r="F21" i="7"/>
  <c r="F24" i="1"/>
  <c r="F21" i="5"/>
  <c r="F24" i="3"/>
  <c r="D15" i="8"/>
  <c r="E3" i="8"/>
  <c r="E15" i="8" s="1"/>
  <c r="E3" i="3"/>
  <c r="F4" i="11"/>
  <c r="D3" i="7"/>
  <c r="E26" i="4" l="1"/>
  <c r="E24" i="3" s="1"/>
  <c r="E24" i="2" s="1"/>
  <c r="E24" i="1" s="1"/>
  <c r="E21" i="5"/>
  <c r="D15" i="7"/>
  <c r="E3" i="7"/>
  <c r="E15" i="7" s="1"/>
  <c r="H15" i="11"/>
  <c r="D14" i="5"/>
  <c r="E14" i="5" s="1"/>
  <c r="D18" i="4"/>
  <c r="E18" i="4" s="1"/>
  <c r="E18" i="6"/>
  <c r="G4" i="11"/>
  <c r="D3" i="6"/>
  <c r="G12" i="11"/>
  <c r="D11" i="6"/>
  <c r="E11" i="6" s="1"/>
  <c r="H19" i="11"/>
  <c r="D24" i="4"/>
  <c r="D18" i="5"/>
  <c r="H27" i="11"/>
  <c r="D26" i="5"/>
  <c r="E26" i="5" s="1"/>
  <c r="D34" i="4"/>
  <c r="E3" i="2"/>
  <c r="G8" i="11"/>
  <c r="D7" i="6"/>
  <c r="E7" i="6" s="1"/>
  <c r="C15" i="7"/>
  <c r="C3" i="6"/>
  <c r="C18" i="6"/>
  <c r="C27" i="7"/>
  <c r="D33" i="2"/>
  <c r="E30" i="2"/>
  <c r="G25" i="11"/>
  <c r="D24" i="6"/>
  <c r="E24" i="6" s="1"/>
  <c r="D26" i="2"/>
  <c r="D28" i="2" s="1"/>
  <c r="D35" i="2" s="1"/>
  <c r="D41" i="2" s="1"/>
  <c r="E18" i="5" l="1"/>
  <c r="H12" i="11"/>
  <c r="D11" i="5"/>
  <c r="E11" i="5" s="1"/>
  <c r="D14" i="4"/>
  <c r="E14" i="4" s="1"/>
  <c r="E30" i="1"/>
  <c r="C11" i="4"/>
  <c r="C15" i="6"/>
  <c r="C3" i="5"/>
  <c r="C15" i="5" s="1"/>
  <c r="D35" i="4"/>
  <c r="E34" i="4"/>
  <c r="E35" i="4" s="1"/>
  <c r="E24" i="4"/>
  <c r="D15" i="6"/>
  <c r="D30" i="6" s="1"/>
  <c r="E3" i="6"/>
  <c r="E15" i="6" s="1"/>
  <c r="I19" i="11"/>
  <c r="D22" i="3"/>
  <c r="H4" i="11"/>
  <c r="D3" i="5"/>
  <c r="D11" i="4"/>
  <c r="H25" i="11"/>
  <c r="D24" i="5"/>
  <c r="E24" i="5" s="1"/>
  <c r="D28" i="4"/>
  <c r="E28" i="4" s="1"/>
  <c r="C27" i="6"/>
  <c r="C18" i="5"/>
  <c r="C27" i="5" s="1"/>
  <c r="C24" i="4"/>
  <c r="H8" i="11"/>
  <c r="D5" i="4"/>
  <c r="D7" i="5"/>
  <c r="E7" i="5" s="1"/>
  <c r="E3" i="1"/>
  <c r="I27" i="11"/>
  <c r="D32" i="3"/>
  <c r="D27" i="6"/>
  <c r="D33" i="6" s="1"/>
  <c r="I15" i="11"/>
  <c r="D16" i="3"/>
  <c r="E16" i="3" s="1"/>
  <c r="D15" i="5" l="1"/>
  <c r="D30" i="5" s="1"/>
  <c r="E3" i="5"/>
  <c r="E15" i="5" s="1"/>
  <c r="J27" i="11"/>
  <c r="I12" i="11"/>
  <c r="D14" i="3"/>
  <c r="E14" i="3" s="1"/>
  <c r="E8" i="2" s="1"/>
  <c r="J15" i="11"/>
  <c r="D16" i="2"/>
  <c r="E16" i="2" s="1"/>
  <c r="I8" i="11"/>
  <c r="D5" i="3"/>
  <c r="I25" i="11"/>
  <c r="J25" i="11" s="1"/>
  <c r="D26" i="3"/>
  <c r="E26" i="3" s="1"/>
  <c r="E26" i="2" s="1"/>
  <c r="D28" i="3"/>
  <c r="D35" i="3" s="1"/>
  <c r="D41" i="3" s="1"/>
  <c r="E22" i="3"/>
  <c r="E30" i="4"/>
  <c r="E37" i="4" s="1"/>
  <c r="D27" i="5"/>
  <c r="D33" i="5" s="1"/>
  <c r="D33" i="3"/>
  <c r="E32" i="3"/>
  <c r="C30" i="4"/>
  <c r="C37" i="4" s="1"/>
  <c r="C22" i="3"/>
  <c r="C19" i="4"/>
  <c r="C21" i="4" s="1"/>
  <c r="C11" i="3"/>
  <c r="E5" i="4"/>
  <c r="E9" i="4" s="1"/>
  <c r="D9" i="4"/>
  <c r="I4" i="11"/>
  <c r="D11" i="3"/>
  <c r="E11" i="4"/>
  <c r="E19" i="4" s="1"/>
  <c r="D19" i="4"/>
  <c r="J19" i="11"/>
  <c r="D30" i="4"/>
  <c r="D37" i="4" s="1"/>
  <c r="D43" i="4" s="1"/>
  <c r="D17" i="3" l="1"/>
  <c r="E11" i="3"/>
  <c r="E17" i="3" s="1"/>
  <c r="C17" i="3"/>
  <c r="C19" i="3" s="1"/>
  <c r="C11" i="2"/>
  <c r="E33" i="3"/>
  <c r="E32" i="2"/>
  <c r="E33" i="2" s="1"/>
  <c r="E28" i="3"/>
  <c r="E22" i="2"/>
  <c r="E28" i="2" s="1"/>
  <c r="E35" i="2" s="1"/>
  <c r="E5" i="3"/>
  <c r="E9" i="3" s="1"/>
  <c r="E19" i="3" s="1"/>
  <c r="D9" i="3"/>
  <c r="K15" i="11"/>
  <c r="L15" i="11" s="1"/>
  <c r="M15" i="11" s="1"/>
  <c r="D16" i="1"/>
  <c r="E16" i="1" s="1"/>
  <c r="J4" i="11"/>
  <c r="D11" i="2"/>
  <c r="K19" i="11"/>
  <c r="D22" i="1"/>
  <c r="J8" i="11"/>
  <c r="D5" i="2"/>
  <c r="K27" i="11"/>
  <c r="L27" i="11" s="1"/>
  <c r="M27" i="11" s="1"/>
  <c r="N27" i="11" s="1"/>
  <c r="D32" i="1"/>
  <c r="D21" i="4"/>
  <c r="D40" i="4" s="1"/>
  <c r="C28" i="3"/>
  <c r="C35" i="3" s="1"/>
  <c r="C22" i="2"/>
  <c r="J12" i="11"/>
  <c r="D14" i="2"/>
  <c r="E14" i="2" s="1"/>
  <c r="E21" i="4"/>
  <c r="K25" i="11"/>
  <c r="L25" i="11" s="1"/>
  <c r="M25" i="11" s="1"/>
  <c r="N25" i="11" s="1"/>
  <c r="D26" i="1"/>
  <c r="E26" i="1" s="1"/>
  <c r="F24" i="6" l="1"/>
  <c r="F24" i="5"/>
  <c r="F28" i="4"/>
  <c r="F24" i="7"/>
  <c r="F26" i="2"/>
  <c r="F26" i="1"/>
  <c r="F26" i="3"/>
  <c r="K12" i="11"/>
  <c r="L12" i="11" s="1"/>
  <c r="M12" i="11" s="1"/>
  <c r="D14" i="1"/>
  <c r="E14" i="1" s="1"/>
  <c r="E32" i="1"/>
  <c r="E33" i="1" s="1"/>
  <c r="D33" i="1"/>
  <c r="E22" i="1"/>
  <c r="E28" i="1" s="1"/>
  <c r="D28" i="1"/>
  <c r="C17" i="2"/>
  <c r="C19" i="2" s="1"/>
  <c r="C11" i="1"/>
  <c r="C17" i="1" s="1"/>
  <c r="C19" i="1" s="1"/>
  <c r="C22" i="1"/>
  <c r="C28" i="1" s="1"/>
  <c r="C35" i="1" s="1"/>
  <c r="C28" i="2"/>
  <c r="C35" i="2" s="1"/>
  <c r="F34" i="4"/>
  <c r="F35" i="4" s="1"/>
  <c r="F26" i="7"/>
  <c r="F26" i="6"/>
  <c r="F26" i="5"/>
  <c r="F32" i="3"/>
  <c r="F33" i="3" s="1"/>
  <c r="F32" i="1"/>
  <c r="F33" i="1" s="1"/>
  <c r="F32" i="2"/>
  <c r="F33" i="2" s="1"/>
  <c r="L19" i="11"/>
  <c r="M19" i="11" s="1"/>
  <c r="N19" i="11"/>
  <c r="E35" i="3"/>
  <c r="E5" i="2"/>
  <c r="E9" i="2" s="1"/>
  <c r="E19" i="2" s="1"/>
  <c r="D9" i="2"/>
  <c r="D17" i="2"/>
  <c r="E11" i="2"/>
  <c r="E17" i="2" s="1"/>
  <c r="D19" i="3"/>
  <c r="D38" i="3" s="1"/>
  <c r="K8" i="11"/>
  <c r="L8" i="11" s="1"/>
  <c r="M8" i="11" s="1"/>
  <c r="D5" i="1"/>
  <c r="K4" i="11"/>
  <c r="L4" i="11" s="1"/>
  <c r="M4" i="11" s="1"/>
  <c r="D11" i="1"/>
  <c r="E35" i="1" l="1"/>
  <c r="D17" i="1"/>
  <c r="E11" i="1"/>
  <c r="E17" i="1" s="1"/>
  <c r="F24" i="4"/>
  <c r="F30" i="4" s="1"/>
  <c r="F37" i="4" s="1"/>
  <c r="F18" i="7"/>
  <c r="F27" i="7" s="1"/>
  <c r="F22" i="3"/>
  <c r="F28" i="3" s="1"/>
  <c r="F35" i="3" s="1"/>
  <c r="F22" i="2"/>
  <c r="F28" i="2" s="1"/>
  <c r="F35" i="2" s="1"/>
  <c r="F18" i="6"/>
  <c r="F27" i="6" s="1"/>
  <c r="F18" i="5"/>
  <c r="F27" i="5" s="1"/>
  <c r="F22" i="1"/>
  <c r="F28" i="1" s="1"/>
  <c r="F35" i="1" s="1"/>
  <c r="E5" i="1"/>
  <c r="E9" i="1" s="1"/>
  <c r="D9" i="1"/>
  <c r="D19" i="2"/>
  <c r="D38" i="2" s="1"/>
  <c r="D35" i="1"/>
  <c r="E19" i="1" l="1"/>
  <c r="D19" i="1"/>
</calcChain>
</file>

<file path=xl/sharedStrings.xml><?xml version="1.0" encoding="utf-8"?>
<sst xmlns="http://schemas.openxmlformats.org/spreadsheetml/2006/main" count="469" uniqueCount="90">
  <si>
    <t>INCOME</t>
  </si>
  <si>
    <t>Month</t>
  </si>
  <si>
    <t>YTD</t>
  </si>
  <si>
    <t>Month Budget</t>
  </si>
  <si>
    <t>Budget YTD</t>
  </si>
  <si>
    <t>2018 Budget</t>
  </si>
  <si>
    <t>Notes</t>
  </si>
  <si>
    <t>Offerings</t>
  </si>
  <si>
    <t>Rental Income</t>
  </si>
  <si>
    <t>2 months (Sep &amp; Oct)</t>
  </si>
  <si>
    <t>HUG Proceeds</t>
  </si>
  <si>
    <t>Interest Income</t>
  </si>
  <si>
    <t>Refunds-Reimbursements</t>
  </si>
  <si>
    <t>Grant Income</t>
  </si>
  <si>
    <t>Total Operating Income</t>
  </si>
  <si>
    <t>CAER Offerings</t>
  </si>
  <si>
    <t>Designated Giving - kitchen</t>
  </si>
  <si>
    <t>Designated Giving - Other</t>
  </si>
  <si>
    <t>Designated Giving</t>
  </si>
  <si>
    <t>UCC OCWM</t>
  </si>
  <si>
    <t>$6110 kitchen renov</t>
  </si>
  <si>
    <t>OGHS Offerings</t>
  </si>
  <si>
    <t>UCC Other</t>
  </si>
  <si>
    <t>Total Designated Income</t>
  </si>
  <si>
    <t>Total Income</t>
  </si>
  <si>
    <t>EXPENSES</t>
  </si>
  <si>
    <t>Faith Formation</t>
  </si>
  <si>
    <t>Congregational Life</t>
  </si>
  <si>
    <t>Ministry &amp; Administration</t>
  </si>
  <si>
    <t>PR Withholding</t>
  </si>
  <si>
    <t>Property</t>
  </si>
  <si>
    <t>Final Insurance installment for 2018 paid ($3521)</t>
  </si>
  <si>
    <t>Worship</t>
  </si>
  <si>
    <t>Total Operating Expenditure</t>
  </si>
  <si>
    <t>Outreach &amp; Justice</t>
  </si>
  <si>
    <t>CAER</t>
  </si>
  <si>
    <t>kitchen</t>
  </si>
  <si>
    <t>Total Designated Expenditure</t>
  </si>
  <si>
    <t>Total Expenses</t>
  </si>
  <si>
    <t>Budget 2018</t>
  </si>
  <si>
    <t>Armando Fundraiser</t>
  </si>
  <si>
    <t>Net surplus/(excess) for month</t>
  </si>
  <si>
    <t xml:space="preserve"> </t>
  </si>
  <si>
    <t>Checking</t>
  </si>
  <si>
    <t>Savings</t>
  </si>
  <si>
    <t>Major Creditors</t>
  </si>
  <si>
    <t>Kitchen renovation fund</t>
  </si>
  <si>
    <t>MN UCC Conf. 3rd qtr</t>
  </si>
  <si>
    <t>Chubb $8210; Church Mutual $3005; Plaisted $1048</t>
  </si>
  <si>
    <t>kitchen $2,151</t>
  </si>
  <si>
    <t>STC</t>
  </si>
  <si>
    <t>kitchen $4,326; ODFY $72</t>
  </si>
  <si>
    <t>kichen $1812; Worship &amp; arts $25</t>
  </si>
  <si>
    <t>Christmas fund</t>
  </si>
  <si>
    <t>Jan + Feb</t>
  </si>
  <si>
    <t>Snowplowing $1311</t>
  </si>
  <si>
    <t>Handbell supplies $1928</t>
  </si>
  <si>
    <t>OGHS $767</t>
  </si>
  <si>
    <t>feb</t>
  </si>
  <si>
    <t>$3.5k Insurance; Snowplowing $656</t>
  </si>
  <si>
    <t>TOTAL Cash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</si>
  <si>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</si>
  <si>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</si>
  <si>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</si>
  <si>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</si>
  <si>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</si>
  <si>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</si>
  <si>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</si>
  <si>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</si>
  <si>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</si>
  <si>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</si>
  <si>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</si>
  <si>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</si>
  <si>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</si>
  <si>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kichen</t>
  </si>
  <si>
    <t>exp/mth</t>
  </si>
  <si>
    <t>Salaries</t>
  </si>
  <si>
    <t>$3.8k Insurance; Snowplowing $840</t>
  </si>
  <si>
    <t>Music salaries</t>
  </si>
  <si>
    <t>TOTAL INCOME</t>
  </si>
  <si>
    <t>TOTAL EXPENSES</t>
  </si>
  <si>
    <t>Septembe Checking</t>
  </si>
  <si>
    <t>September Savings</t>
  </si>
  <si>
    <t>September kitchen</t>
  </si>
  <si>
    <t>Checking and Savins From August</t>
  </si>
  <si>
    <t>Monies Available</t>
  </si>
  <si>
    <t>Mnth Bdgt</t>
  </si>
  <si>
    <t>Bdgt YTD</t>
  </si>
  <si>
    <t>2018 Bgdt</t>
  </si>
  <si>
    <t>Bells $75; Flsp Hall Paint $616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</si>
</sst>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_(&quot;$&quot;* #,##0_);_(&quot;$&quot;* \(#,##0\);_(&quot;$&quot;* &quot;-&quot;??_);_(@_)"/>
    <numFmt numFmtId="166" formatCode="&quot;$&quot;#,##0.00"/>
    <numFmt numFmtId="167" formatCode="m/d/yy;@"/>
  </numFmts>
  <fonts count="11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/>
    <xf numFmtId="3" fontId="2" fillId="0" borderId="0" xfId="0" applyNumberFormat="1" applyFont="1" applyAlignment="1"/>
    <xf numFmtId="0" fontId="4" fillId="0" borderId="0" xfId="0" applyFont="1" applyAlignment="1"/>
    <xf numFmtId="3" fontId="4" fillId="0" borderId="0" xfId="0" applyNumberFormat="1" applyFont="1"/>
    <xf numFmtId="3" fontId="2" fillId="0" borderId="0" xfId="0" applyNumberFormat="1" applyFont="1" applyAlignment="1"/>
    <xf numFmtId="0" fontId="5" fillId="0" borderId="0" xfId="0" applyFont="1" applyAlignment="1"/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1" fontId="2" fillId="0" borderId="0" xfId="0" applyNumberFormat="1" applyFont="1" applyAlignment="1"/>
    <xf numFmtId="0" fontId="2" fillId="0" borderId="0" xfId="0" applyFont="1" applyAlignment="1"/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/>
    <xf numFmtId="164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/>
    <xf numFmtId="166" fontId="2" fillId="0" borderId="0" xfId="0" applyNumberFormat="1" applyFont="1" applyAlignment="1"/>
    <xf numFmtId="1" fontId="5" fillId="0" borderId="0" xfId="0" applyNumberFormat="1" applyFont="1"/>
    <xf numFmtId="3" fontId="5" fillId="0" borderId="0" xfId="0" applyNumberFormat="1" applyFont="1" applyAlignment="1"/>
    <xf numFmtId="3" fontId="5" fillId="0" borderId="0" xfId="0" applyNumberFormat="1" applyFont="1"/>
    <xf numFmtId="1" fontId="5" fillId="0" borderId="0" xfId="0" applyNumberFormat="1" applyFont="1" applyAlignment="1"/>
    <xf numFmtId="4" fontId="5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165" fontId="7" fillId="0" borderId="0" xfId="0" applyNumberFormat="1" applyFont="1" applyAlignment="1"/>
    <xf numFmtId="0" fontId="8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>
      <alignment horizontal="center"/>
    </xf>
    <xf numFmtId="167" fontId="2" fillId="0" borderId="0" xfId="0" applyNumberFormat="1" applyFont="1" applyAlignment="1">
      <alignment horizontal="center" wrapText="1"/>
    </xf>
    <xf numFmtId="165" fontId="9" fillId="0" borderId="0" xfId="0" applyNumberFormat="1" applyFont="1" applyAlignment="1"/>
    <xf numFmtId="165" fontId="10" fillId="0" borderId="0" xfId="0" applyNumberFormat="1" applyFont="1" applyAlignment="1">
      <alignment horizontal="right"/>
    </xf>
    <xf numFmtId="3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10"/>
  <sheetViews>
    <sheetView tabSelected="1" topLeftCell="A23" workbookViewId="0">
      <selection activeCell="G22" sqref="G22"/>
    </sheetView>
  </sheetViews>
  <sheetFormatPr baseColWidth="10" defaultColWidth="14.5" defaultRowHeight="15.75" customHeight="1" x14ac:dyDescent="0.15"/>
  <cols>
    <col min="1" max="1" width="28.33203125" customWidth="1"/>
    <col min="2" max="2" width="11" customWidth="1"/>
    <col min="3" max="3" width="10" customWidth="1"/>
    <col min="4" max="4" width="11.5" customWidth="1"/>
    <col min="5" max="5" width="11" customWidth="1"/>
    <col min="6" max="6" width="12.1640625" customWidth="1"/>
  </cols>
  <sheetData>
    <row r="1" spans="1:27" ht="16" x14ac:dyDescent="0.2">
      <c r="A1" s="1">
        <v>43344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4" t="s">
        <v>1</v>
      </c>
      <c r="C2" s="4" t="s">
        <v>2</v>
      </c>
      <c r="D2" s="44" t="s">
        <v>86</v>
      </c>
      <c r="E2" s="44" t="s">
        <v>87</v>
      </c>
      <c r="F2" s="44" t="s">
        <v>88</v>
      </c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7</v>
      </c>
      <c r="B3" s="6">
        <v>18180.900000000001</v>
      </c>
      <c r="C3" s="7">
        <f>Aug!C3+B3</f>
        <v>130509.25</v>
      </c>
      <c r="D3" s="7">
        <f>'Budget by Month'!J10</f>
        <v>18091.25</v>
      </c>
      <c r="E3" s="7">
        <f>D3+Aug!E3</f>
        <v>162821.25</v>
      </c>
      <c r="F3" s="7">
        <f>'Budget by Month'!O10</f>
        <v>217095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8</v>
      </c>
      <c r="B4" s="6">
        <v>2332</v>
      </c>
      <c r="C4" s="7">
        <f>Aug!C4+B4</f>
        <v>8697</v>
      </c>
      <c r="D4" s="7">
        <f>'Budget by Month'!J14</f>
        <v>1166</v>
      </c>
      <c r="E4" s="7">
        <f>D4+Aug!E4</f>
        <v>6996</v>
      </c>
      <c r="F4" s="7">
        <f>'Budget by Month'!O14</f>
        <v>10494</v>
      </c>
      <c r="G4" s="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10</v>
      </c>
      <c r="B5" s="6">
        <v>90</v>
      </c>
      <c r="C5" s="7">
        <f>Aug!C5+B5</f>
        <v>1148.32</v>
      </c>
      <c r="D5" s="7">
        <f>'Budget by Month'!J8</f>
        <v>166.66666666666666</v>
      </c>
      <c r="E5" s="7">
        <f>D5+Aug!E5</f>
        <v>916.66666666666652</v>
      </c>
      <c r="F5" s="7">
        <f>'Budget by Month'!O8</f>
        <v>2000</v>
      </c>
    </row>
    <row r="6" spans="1:27" ht="15.75" customHeight="1" x14ac:dyDescent="0.15">
      <c r="A6" s="2" t="s">
        <v>11</v>
      </c>
      <c r="B6" s="6">
        <v>2.06</v>
      </c>
      <c r="C6" s="7">
        <f>Aug!C6+B6</f>
        <v>27.209999999999997</v>
      </c>
      <c r="D6" s="7">
        <f>'Budget by Month'!J9</f>
        <v>0</v>
      </c>
      <c r="E6" s="7"/>
      <c r="F6" s="7">
        <f>'Budget by Month'!O9</f>
        <v>0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12</v>
      </c>
      <c r="B7" s="6"/>
      <c r="C7" s="7">
        <f>Aug!C7+B7</f>
        <v>22.64</v>
      </c>
      <c r="D7" s="7">
        <f>'Budget by Month'!J11</f>
        <v>0</v>
      </c>
      <c r="E7" s="7"/>
      <c r="F7" s="7">
        <f>'Budget by Month'!O11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13</v>
      </c>
      <c r="B8" s="10"/>
      <c r="C8" s="7">
        <f>Aug!C8+B8</f>
        <v>0</v>
      </c>
      <c r="D8" s="7">
        <f>'Budget by Month'!J7</f>
        <v>0</v>
      </c>
      <c r="E8" s="7"/>
      <c r="F8" s="7">
        <f>'Budget by Month'!O7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11" t="s">
        <v>14</v>
      </c>
      <c r="B9" s="48">
        <f t="shared" ref="B9:F9" si="0">SUM(B3:B8)</f>
        <v>20604.960000000003</v>
      </c>
      <c r="C9" s="12">
        <f t="shared" si="0"/>
        <v>140404.42000000001</v>
      </c>
      <c r="D9" s="12">
        <f t="shared" si="0"/>
        <v>19423.916666666668</v>
      </c>
      <c r="E9" s="12">
        <f t="shared" si="0"/>
        <v>170733.91666666666</v>
      </c>
      <c r="F9" s="12">
        <f t="shared" si="0"/>
        <v>229589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15</v>
      </c>
      <c r="B11" s="6">
        <v>40</v>
      </c>
      <c r="C11" s="7">
        <f>Aug!C11+B11</f>
        <v>412</v>
      </c>
      <c r="D11" s="7">
        <f>'Budget by Month'!J4</f>
        <v>83.333333333333329</v>
      </c>
      <c r="E11" s="7">
        <f>D11+Aug!E11</f>
        <v>750</v>
      </c>
      <c r="F11" s="7">
        <f>'Budget by Month'!O4</f>
        <v>1000</v>
      </c>
    </row>
    <row r="12" spans="1:27" ht="15.75" customHeight="1" x14ac:dyDescent="0.15">
      <c r="A12" s="8" t="s">
        <v>16</v>
      </c>
      <c r="B12" s="6">
        <f>1480+170</f>
        <v>1650</v>
      </c>
      <c r="C12" s="7">
        <f>Aug!C12+B12</f>
        <v>30398.489999999998</v>
      </c>
      <c r="D12" s="7">
        <f>'Budget by Month'!J5</f>
        <v>83.333333333333329</v>
      </c>
      <c r="E12" s="7">
        <f>D12+Aug!E12</f>
        <v>750</v>
      </c>
      <c r="F12" s="7">
        <f>'Budget by Month'!O5</f>
        <v>1000</v>
      </c>
    </row>
    <row r="13" spans="1:27" ht="15.75" customHeight="1" x14ac:dyDescent="0.15">
      <c r="A13" s="2" t="s">
        <v>18</v>
      </c>
      <c r="B13" s="13">
        <v>691</v>
      </c>
      <c r="C13" s="7">
        <f>Aug!C13+B13</f>
        <v>691</v>
      </c>
      <c r="D13" s="7">
        <f>'Budget by Month'!J6</f>
        <v>1341.6666666666667</v>
      </c>
      <c r="E13" s="7">
        <f>D13+Aug!E13</f>
        <v>12075</v>
      </c>
      <c r="F13" s="7">
        <f>'Budget by Month'!O6</f>
        <v>16100</v>
      </c>
      <c r="G13" s="40" t="s">
        <v>89</v>
      </c>
      <c r="H13" s="4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19</v>
      </c>
      <c r="B14" s="6">
        <v>1400</v>
      </c>
      <c r="C14" s="7">
        <f>Aug!C14+B14</f>
        <v>9920</v>
      </c>
      <c r="D14" s="7">
        <f>'Budget by Month'!J12</f>
        <v>1224.3333333333333</v>
      </c>
      <c r="E14" s="7">
        <f>D14+Aug!E14</f>
        <v>11019</v>
      </c>
      <c r="F14" s="7">
        <f>'Budget by Month'!O12</f>
        <v>14692</v>
      </c>
      <c r="G14" s="4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21</v>
      </c>
      <c r="B15" s="6"/>
      <c r="C15" s="7">
        <f>Aug!C15+B15</f>
        <v>767</v>
      </c>
      <c r="D15" s="7">
        <f>'Budget by Month'!J13</f>
        <v>0</v>
      </c>
      <c r="E15" s="7">
        <f>D15+Aug!E15</f>
        <v>0</v>
      </c>
      <c r="F15" s="7">
        <f>'Budget by Month'!O13</f>
        <v>0</v>
      </c>
      <c r="G15" s="40"/>
    </row>
    <row r="16" spans="1:27" ht="15.75" customHeight="1" x14ac:dyDescent="0.15">
      <c r="A16" s="2" t="s">
        <v>22</v>
      </c>
      <c r="B16" s="6"/>
      <c r="C16" s="7">
        <f>Aug!C16+B16</f>
        <v>185</v>
      </c>
      <c r="D16" s="7">
        <f>'Budget by Month'!J15</f>
        <v>0</v>
      </c>
      <c r="E16" s="7">
        <f>D16+Aug!E16</f>
        <v>0</v>
      </c>
      <c r="F16" s="7">
        <f>'Budget by Month'!O15</f>
        <v>0</v>
      </c>
      <c r="G16" s="4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15" t="s">
        <v>23</v>
      </c>
      <c r="B17" s="16">
        <f t="shared" ref="B17:F17" si="1">SUM(B11:B16)</f>
        <v>3781</v>
      </c>
      <c r="C17" s="16">
        <f t="shared" si="1"/>
        <v>42373.49</v>
      </c>
      <c r="D17" s="16">
        <f t="shared" si="1"/>
        <v>2732.666666666667</v>
      </c>
      <c r="E17" s="16">
        <f t="shared" si="1"/>
        <v>24594</v>
      </c>
      <c r="F17" s="16">
        <f t="shared" si="1"/>
        <v>32792</v>
      </c>
      <c r="G17" s="4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3"/>
      <c r="B18" s="17"/>
      <c r="C18" s="17"/>
      <c r="D18" s="17"/>
      <c r="E18" s="17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3" t="s">
        <v>24</v>
      </c>
      <c r="B19" s="16">
        <f t="shared" ref="B19:F19" si="2">B9+B17</f>
        <v>24385.960000000003</v>
      </c>
      <c r="C19" s="16">
        <f t="shared" si="2"/>
        <v>182777.91</v>
      </c>
      <c r="D19" s="16">
        <f t="shared" si="2"/>
        <v>22156.583333333336</v>
      </c>
      <c r="E19" s="16">
        <f t="shared" si="2"/>
        <v>195327.91666666666</v>
      </c>
      <c r="F19" s="16">
        <f t="shared" si="2"/>
        <v>262381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/>
      <c r="B20" s="10"/>
      <c r="C20" s="10"/>
      <c r="D20" s="10"/>
      <c r="E20" s="10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3" t="s">
        <v>25</v>
      </c>
      <c r="B21" s="18"/>
      <c r="C21" s="7"/>
      <c r="D21" s="18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26</v>
      </c>
      <c r="B22" s="6">
        <v>2346.2399999999998</v>
      </c>
      <c r="C22" s="7">
        <f>Aug!C22+B22</f>
        <v>21215.659999999996</v>
      </c>
      <c r="D22" s="7">
        <f>'Budget by Month'!J19</f>
        <v>2474.0833333333335</v>
      </c>
      <c r="E22" s="7">
        <f>D22+Aug!E22</f>
        <v>22266.75</v>
      </c>
      <c r="F22" s="7">
        <f>'Budget by Month'!N19</f>
        <v>29688.999999999996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27</v>
      </c>
      <c r="B23" s="6">
        <v>166</v>
      </c>
      <c r="C23" s="7">
        <f>Aug!C23+B23</f>
        <v>2379.4700000000003</v>
      </c>
      <c r="D23" s="7">
        <f>'Budget by Month'!J21</f>
        <v>400</v>
      </c>
      <c r="E23" s="7">
        <f>D23+Aug!E23</f>
        <v>3600</v>
      </c>
      <c r="F23" s="7">
        <f>'Budget by Month'!N21</f>
        <v>4800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28</v>
      </c>
      <c r="B24" s="6">
        <v>7334.71</v>
      </c>
      <c r="C24" s="7">
        <f>Aug!C24+B24</f>
        <v>71908.36</v>
      </c>
      <c r="D24" s="7">
        <f>'Budget by Month'!J22</f>
        <v>9107.4166666666661</v>
      </c>
      <c r="E24" s="7">
        <f>D24+Aug!E24</f>
        <v>80799.94</v>
      </c>
      <c r="F24" s="7">
        <f>'Budget by Month'!N22</f>
        <v>108122.19000000002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29</v>
      </c>
      <c r="B25" s="6">
        <v>-473.14</v>
      </c>
      <c r="C25" s="7">
        <f>Aug!C25+B25</f>
        <v>429.29999999999984</v>
      </c>
      <c r="D25" s="7">
        <f>'Budget by Month'!J24</f>
        <v>0</v>
      </c>
      <c r="E25" s="7">
        <f>D25+Aug!E25</f>
        <v>0</v>
      </c>
      <c r="F25" s="7">
        <f>'Budget by Month'!N24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30</v>
      </c>
      <c r="B26" s="6">
        <v>3763.7</v>
      </c>
      <c r="C26" s="7">
        <f>Aug!C26+B26</f>
        <v>59583.9</v>
      </c>
      <c r="D26" s="7">
        <f>'Budget by Month'!J25</f>
        <v>5244.833333333333</v>
      </c>
      <c r="E26" s="7">
        <f>D26+Aug!E26</f>
        <v>47203.5</v>
      </c>
      <c r="F26" s="7">
        <f>'Budget by Month'!N25</f>
        <v>62938.000000000007</v>
      </c>
    </row>
    <row r="27" spans="1:27" ht="15.75" customHeight="1" x14ac:dyDescent="0.15">
      <c r="A27" s="2" t="s">
        <v>32</v>
      </c>
      <c r="B27" s="6">
        <v>2848.53</v>
      </c>
      <c r="C27" s="7">
        <f>Aug!C27+B27</f>
        <v>24371.02</v>
      </c>
      <c r="D27" s="7">
        <f>'Budget by Month'!J26</f>
        <v>3053.08</v>
      </c>
      <c r="E27" s="7">
        <f>D27+Aug!E27</f>
        <v>25766.760000000002</v>
      </c>
      <c r="F27" s="7">
        <f>'Budget by Month'!N26</f>
        <v>34323.020000000004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11" t="s">
        <v>33</v>
      </c>
      <c r="B28" s="48">
        <f t="shared" ref="B28:F28" si="3">SUM(B22:B27)</f>
        <v>15986.040000000003</v>
      </c>
      <c r="C28" s="12">
        <f t="shared" si="3"/>
        <v>179887.71</v>
      </c>
      <c r="D28" s="12">
        <f t="shared" si="3"/>
        <v>20279.41333333333</v>
      </c>
      <c r="E28" s="12">
        <f t="shared" si="3"/>
        <v>179636.95</v>
      </c>
      <c r="F28" s="12">
        <f t="shared" si="3"/>
        <v>239872.21000000002</v>
      </c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34</v>
      </c>
      <c r="B30" s="6">
        <v>1590</v>
      </c>
      <c r="C30" s="7">
        <f>'June ALT'!C32+B30</f>
        <v>5469.0599999999995</v>
      </c>
      <c r="D30" s="7">
        <f>'Budget by Month'!J23</f>
        <v>1737.5</v>
      </c>
      <c r="E30" s="7">
        <f>D30+Aug!E30</f>
        <v>15637.5</v>
      </c>
      <c r="F30" s="7">
        <f>'Budget by Month'!N23</f>
        <v>20850</v>
      </c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 t="s">
        <v>35</v>
      </c>
      <c r="B31" s="6"/>
      <c r="C31" s="7">
        <f>'June ALT'!C33+B31</f>
        <v>582</v>
      </c>
      <c r="D31" s="7">
        <f>'Budget by Month'!J20</f>
        <v>83.333333333333329</v>
      </c>
      <c r="E31" s="7">
        <f>D31+Aug!E31</f>
        <v>750</v>
      </c>
      <c r="F31" s="7">
        <f>'Budget by Month'!N20</f>
        <v>1000.0000000000001</v>
      </c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 t="s">
        <v>36</v>
      </c>
      <c r="B32" s="20"/>
      <c r="C32" s="20">
        <f>'June ALT'!C34+B32</f>
        <v>21122</v>
      </c>
      <c r="D32" s="21">
        <f>'Budget by Month'!J27</f>
        <v>2028</v>
      </c>
      <c r="E32" s="21">
        <f>D32+Aug!E32</f>
        <v>18252</v>
      </c>
      <c r="F32" s="21">
        <f>'Budget by Month'!N27</f>
        <v>24336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15" t="s">
        <v>37</v>
      </c>
      <c r="B33" s="16">
        <f t="shared" ref="B33:F33" si="4">SUM(B30:B32)</f>
        <v>1590</v>
      </c>
      <c r="C33" s="16">
        <f t="shared" si="4"/>
        <v>27173.059999999998</v>
      </c>
      <c r="D33" s="16">
        <f t="shared" si="4"/>
        <v>3848.833333333333</v>
      </c>
      <c r="E33" s="16">
        <f t="shared" si="4"/>
        <v>34639.5</v>
      </c>
      <c r="F33" s="16">
        <f t="shared" si="4"/>
        <v>46186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15" t="s">
        <v>38</v>
      </c>
      <c r="B35" s="22">
        <f t="shared" ref="B35:F35" si="5">B28+B33</f>
        <v>17576.04</v>
      </c>
      <c r="C35" s="22">
        <f t="shared" si="5"/>
        <v>207060.77</v>
      </c>
      <c r="D35" s="22">
        <f t="shared" si="5"/>
        <v>24128.246666666662</v>
      </c>
      <c r="E35" s="22">
        <f t="shared" si="5"/>
        <v>214276.45</v>
      </c>
      <c r="F35" s="22">
        <f t="shared" si="5"/>
        <v>286058.21000000002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/>
      <c r="B37" s="23"/>
      <c r="C37" s="45">
        <v>43361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3" t="s">
        <v>79</v>
      </c>
      <c r="B38" s="6"/>
      <c r="C38" s="7">
        <f>B19</f>
        <v>24385.960000000003</v>
      </c>
      <c r="D38" s="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3" t="s">
        <v>80</v>
      </c>
      <c r="B39" s="6"/>
      <c r="C39" s="7">
        <f>B35</f>
        <v>17576.04</v>
      </c>
      <c r="D39" s="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39" t="s">
        <v>41</v>
      </c>
      <c r="B40" s="25" t="s">
        <v>42</v>
      </c>
      <c r="C40" s="25">
        <f>C38-C39</f>
        <v>6809.9200000000019</v>
      </c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39"/>
      <c r="B41" s="28"/>
      <c r="C41" s="28"/>
      <c r="D41" s="2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5.75" customHeight="1" x14ac:dyDescent="0.15">
      <c r="A42" s="40" t="s">
        <v>81</v>
      </c>
      <c r="B42" s="26">
        <v>11395.56</v>
      </c>
      <c r="C42" s="25"/>
      <c r="D42" s="2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40" t="s">
        <v>82</v>
      </c>
      <c r="B43" s="26">
        <v>8245</v>
      </c>
      <c r="C43" s="25"/>
      <c r="D43" s="2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40"/>
      <c r="B44" s="27"/>
      <c r="C44" s="41"/>
      <c r="D44" s="2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5.75" customHeight="1" x14ac:dyDescent="0.15">
      <c r="A45" s="40" t="s">
        <v>83</v>
      </c>
      <c r="B45" s="27"/>
      <c r="C45" s="25"/>
      <c r="D45" s="25"/>
      <c r="E45" s="2"/>
      <c r="F45" s="2"/>
      <c r="G45" s="2"/>
      <c r="H45" s="8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40" t="s">
        <v>84</v>
      </c>
      <c r="B46" s="25"/>
      <c r="C46" s="25">
        <f>Aug!B44+Aug!B45</f>
        <v>12830.7</v>
      </c>
      <c r="D46" s="2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5"/>
      <c r="C47" s="28"/>
      <c r="D47" s="2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" x14ac:dyDescent="0.15">
      <c r="A48" s="2"/>
      <c r="B48" s="25"/>
      <c r="C48" s="25"/>
      <c r="D48" s="2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42" t="s">
        <v>85</v>
      </c>
      <c r="B49" s="46">
        <f>SUM(B42:B46)</f>
        <v>19640.559999999998</v>
      </c>
      <c r="C49" s="25">
        <f>C46+C38-C39</f>
        <v>19640.620000000003</v>
      </c>
      <c r="D49" s="2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40"/>
      <c r="B50" s="25"/>
      <c r="C50" s="25"/>
      <c r="D50" s="2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15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8" t="s">
        <v>46</v>
      </c>
      <c r="B52" s="26">
        <f>13542.69+1650</f>
        <v>15192.69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8" t="s">
        <v>47</v>
      </c>
      <c r="B53" s="26">
        <v>3038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47">
        <f>B52+B53</f>
        <v>18230.690000000002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39"/>
      <c r="B56" s="4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3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3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3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3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</sheetData>
  <printOptions gridLines="1"/>
  <pageMargins left="0.7" right="0.7" top="0.75" bottom="0.75" header="0.3" footer="0.3"/>
  <pageSetup scale="75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15</v>
      </c>
      <c r="B3" s="6">
        <v>30</v>
      </c>
      <c r="C3" s="7">
        <f t="shared" ref="C3:C14" si="0">B3</f>
        <v>30</v>
      </c>
      <c r="D3" s="7">
        <f>'Budget by Month'!B4</f>
        <v>83.333333333333329</v>
      </c>
      <c r="E3" s="7">
        <f t="shared" ref="E3:E14" si="1">D3</f>
        <v>83.333333333333329</v>
      </c>
      <c r="F3" s="7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17</v>
      </c>
      <c r="B4" s="6">
        <v>1157</v>
      </c>
      <c r="C4" s="7">
        <f t="shared" si="0"/>
        <v>1157</v>
      </c>
      <c r="D4" s="7">
        <f>'Budget by Month'!B5</f>
        <v>83.333333333333329</v>
      </c>
      <c r="E4" s="7">
        <f t="shared" si="1"/>
        <v>83.333333333333329</v>
      </c>
      <c r="F4" s="7"/>
      <c r="G4" s="8" t="s">
        <v>74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18</v>
      </c>
      <c r="B5" s="10"/>
      <c r="C5" s="7">
        <f t="shared" si="0"/>
        <v>0</v>
      </c>
      <c r="D5" s="7">
        <f>'Budget by Month'!B6</f>
        <v>1341.6666666666667</v>
      </c>
      <c r="E5" s="7">
        <f t="shared" si="1"/>
        <v>1341.6666666666667</v>
      </c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13</v>
      </c>
      <c r="B6" s="10"/>
      <c r="C6" s="7">
        <f t="shared" si="0"/>
        <v>0</v>
      </c>
      <c r="D6" s="7">
        <f>'Budget by Month'!B7</f>
        <v>0</v>
      </c>
      <c r="E6" s="7">
        <f t="shared" si="1"/>
        <v>0</v>
      </c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10</v>
      </c>
      <c r="B7" s="6">
        <v>129.04</v>
      </c>
      <c r="C7" s="7">
        <f t="shared" si="0"/>
        <v>129.04</v>
      </c>
      <c r="D7" s="7">
        <f>'Budget by Month'!B8</f>
        <v>166.66666666666666</v>
      </c>
      <c r="E7" s="7">
        <f t="shared" si="1"/>
        <v>166.66666666666666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>
        <v>1.94</v>
      </c>
      <c r="C8" s="7">
        <f t="shared" si="0"/>
        <v>1.94</v>
      </c>
      <c r="D8" s="7">
        <f>'Budget by Month'!B9</f>
        <v>0</v>
      </c>
      <c r="E8" s="7">
        <f t="shared" si="1"/>
        <v>0</v>
      </c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14230.53</v>
      </c>
      <c r="C9" s="7">
        <f t="shared" si="0"/>
        <v>14230.53</v>
      </c>
      <c r="D9" s="7">
        <f>'Budget by Month'!B10</f>
        <v>18091.25</v>
      </c>
      <c r="E9" s="7">
        <f t="shared" si="1"/>
        <v>18091.25</v>
      </c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12</v>
      </c>
      <c r="B10" s="6">
        <v>-91.86</v>
      </c>
      <c r="C10" s="7">
        <f t="shared" si="0"/>
        <v>-91.86</v>
      </c>
      <c r="D10" s="7">
        <f>'Budget by Month'!B11</f>
        <v>0</v>
      </c>
      <c r="E10" s="7">
        <f t="shared" si="1"/>
        <v>0</v>
      </c>
      <c r="F10" s="10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19</v>
      </c>
      <c r="B11" s="6">
        <v>1031</v>
      </c>
      <c r="C11" s="7">
        <f t="shared" si="0"/>
        <v>1031</v>
      </c>
      <c r="D11" s="7">
        <f>'Budget by Month'!B12</f>
        <v>1224.3333333333333</v>
      </c>
      <c r="E11" s="7">
        <f t="shared" si="1"/>
        <v>1224.3333333333333</v>
      </c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21</v>
      </c>
      <c r="B12" s="7">
        <v>0</v>
      </c>
      <c r="C12" s="7">
        <f t="shared" si="0"/>
        <v>0</v>
      </c>
      <c r="D12" s="7">
        <f>'Budget by Month'!B13</f>
        <v>0</v>
      </c>
      <c r="E12" s="7">
        <f t="shared" si="1"/>
        <v>0</v>
      </c>
      <c r="F12" s="10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>
        <v>1391</v>
      </c>
      <c r="C13" s="7">
        <f t="shared" si="0"/>
        <v>1391</v>
      </c>
      <c r="D13" s="7">
        <f>'Budget by Month'!B14</f>
        <v>1166</v>
      </c>
      <c r="E13" s="7">
        <f t="shared" si="1"/>
        <v>1166</v>
      </c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22</v>
      </c>
      <c r="B14" s="6">
        <v>85</v>
      </c>
      <c r="C14" s="7">
        <f t="shared" si="0"/>
        <v>85</v>
      </c>
      <c r="D14" s="7">
        <f>'Budget by Month'!B15</f>
        <v>0</v>
      </c>
      <c r="E14" s="7">
        <f t="shared" si="1"/>
        <v>0</v>
      </c>
      <c r="F14" s="7"/>
      <c r="G14" s="8" t="s">
        <v>53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24</v>
      </c>
      <c r="B15" s="16">
        <f t="shared" ref="B15:F15" si="2">SUM(B3:B14)</f>
        <v>17963.650000000001</v>
      </c>
      <c r="C15" s="16">
        <f t="shared" si="2"/>
        <v>17963.650000000001</v>
      </c>
      <c r="D15" s="16">
        <f t="shared" si="2"/>
        <v>22156.583333333332</v>
      </c>
      <c r="E15" s="16">
        <f t="shared" si="2"/>
        <v>22156.583333333332</v>
      </c>
      <c r="F15" s="16">
        <f t="shared" si="2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2" t="s">
        <v>25</v>
      </c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26</v>
      </c>
      <c r="B18" s="6">
        <v>2339.31</v>
      </c>
      <c r="C18" s="7">
        <f t="shared" ref="C18:C26" si="3">B18</f>
        <v>2339.31</v>
      </c>
      <c r="D18" s="7">
        <f>'Budget by Month'!B19</f>
        <v>2474.0833333333335</v>
      </c>
      <c r="E18" s="7">
        <f t="shared" ref="E18:E26" si="4">D18</f>
        <v>2474.0833333333335</v>
      </c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35</v>
      </c>
      <c r="B19" s="7">
        <v>0</v>
      </c>
      <c r="C19" s="7">
        <f t="shared" si="3"/>
        <v>0</v>
      </c>
      <c r="D19" s="7">
        <f>'Budget by Month'!B20</f>
        <v>83.333333333333329</v>
      </c>
      <c r="E19" s="7">
        <f t="shared" si="4"/>
        <v>83.333333333333329</v>
      </c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27</v>
      </c>
      <c r="B20" s="6">
        <v>425.5</v>
      </c>
      <c r="C20" s="7">
        <f t="shared" si="3"/>
        <v>425.5</v>
      </c>
      <c r="D20" s="7">
        <f>'Budget by Month'!B21</f>
        <v>400</v>
      </c>
      <c r="E20" s="7">
        <f t="shared" si="4"/>
        <v>400</v>
      </c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28</v>
      </c>
      <c r="B21" s="6">
        <v>7738.1</v>
      </c>
      <c r="C21" s="7">
        <f t="shared" si="3"/>
        <v>7738.1</v>
      </c>
      <c r="D21" s="7">
        <f>'Budget by Month'!B22</f>
        <v>9107.4166666666661</v>
      </c>
      <c r="E21" s="7">
        <f t="shared" si="4"/>
        <v>9107.4166666666661</v>
      </c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34</v>
      </c>
      <c r="B22" s="7"/>
      <c r="C22" s="7">
        <f t="shared" si="3"/>
        <v>0</v>
      </c>
      <c r="D22" s="7">
        <f>'Budget by Month'!B23</f>
        <v>1737.5</v>
      </c>
      <c r="E22" s="7">
        <f t="shared" si="4"/>
        <v>1737.5</v>
      </c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532.36</v>
      </c>
      <c r="C23" s="7">
        <f t="shared" si="3"/>
        <v>532.36</v>
      </c>
      <c r="D23" s="7">
        <f>'Budget by Month'!B24</f>
        <v>0</v>
      </c>
      <c r="E23" s="7">
        <f t="shared" si="4"/>
        <v>0</v>
      </c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9143.69</v>
      </c>
      <c r="C24" s="7">
        <f t="shared" si="3"/>
        <v>9143.69</v>
      </c>
      <c r="D24" s="7">
        <f>'Budget by Month'!B25</f>
        <v>5244.833333333333</v>
      </c>
      <c r="E24" s="7">
        <f t="shared" si="4"/>
        <v>5244.833333333333</v>
      </c>
      <c r="F24" s="7"/>
      <c r="G24" s="8" t="s">
        <v>77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32</v>
      </c>
      <c r="B25" s="6">
        <v>3031.56</v>
      </c>
      <c r="C25" s="7">
        <f t="shared" si="3"/>
        <v>3031.56</v>
      </c>
      <c r="D25" s="7">
        <f>'Budget by Month'!B26</f>
        <v>3305.58</v>
      </c>
      <c r="E25" s="7">
        <f t="shared" si="4"/>
        <v>3305.58</v>
      </c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36</v>
      </c>
      <c r="B26" s="7"/>
      <c r="C26" s="7">
        <f t="shared" si="3"/>
        <v>0</v>
      </c>
      <c r="D26" s="7">
        <f>'Budget by Month'!B27</f>
        <v>2028</v>
      </c>
      <c r="E26" s="7">
        <f t="shared" si="4"/>
        <v>2028</v>
      </c>
      <c r="F26" s="7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38</v>
      </c>
      <c r="B27" s="16">
        <f t="shared" ref="B27:D27" si="5">SUM(B18:B26)</f>
        <v>23210.52</v>
      </c>
      <c r="C27" s="16">
        <f t="shared" si="5"/>
        <v>23210.52</v>
      </c>
      <c r="D27" s="16">
        <f t="shared" si="5"/>
        <v>24380.746666666666</v>
      </c>
      <c r="E27" s="16"/>
      <c r="F27" s="16">
        <f>SUM(F18:F26)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3">
        <v>42764</v>
      </c>
      <c r="C29" s="23">
        <v>43130</v>
      </c>
      <c r="D29" s="24" t="s">
        <v>39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>
        <v>19866</v>
      </c>
      <c r="C30" s="7">
        <f>B15</f>
        <v>17963.650000000001</v>
      </c>
      <c r="D30" s="7">
        <f>F15/12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25</v>
      </c>
      <c r="B33" s="6">
        <v>19925</v>
      </c>
      <c r="C33" s="7">
        <f>B27</f>
        <v>23210.52</v>
      </c>
      <c r="D33" s="7">
        <f>D27</f>
        <v>24380.746666666666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42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43</v>
      </c>
      <c r="B35" s="29">
        <f>31798.19-B37</f>
        <v>20405.189999999999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44</v>
      </c>
      <c r="B36" s="31">
        <f>15216.97</f>
        <v>15216.97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36</v>
      </c>
      <c r="B37" s="31">
        <f>10236+1157</f>
        <v>11393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3:R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4.5" defaultRowHeight="15.75" customHeight="1" x14ac:dyDescent="0.15"/>
  <cols>
    <col min="1" max="1" width="22.6640625" customWidth="1"/>
  </cols>
  <sheetData>
    <row r="3" spans="1:15" ht="15.75" customHeight="1" x14ac:dyDescent="0.15">
      <c r="A3" s="3" t="s">
        <v>0</v>
      </c>
      <c r="B3" s="14" t="s">
        <v>61</v>
      </c>
      <c r="C3" s="14" t="s">
        <v>62</v>
      </c>
      <c r="D3" s="14" t="s">
        <v>63</v>
      </c>
      <c r="E3" s="14" t="s">
        <v>64</v>
      </c>
      <c r="F3" s="14" t="s">
        <v>65</v>
      </c>
      <c r="G3" s="14" t="s">
        <v>66</v>
      </c>
      <c r="H3" s="14" t="s">
        <v>67</v>
      </c>
      <c r="I3" s="14" t="s">
        <v>68</v>
      </c>
      <c r="J3" s="14" t="s">
        <v>69</v>
      </c>
      <c r="K3" s="14" t="s">
        <v>70</v>
      </c>
      <c r="L3" s="14" t="s">
        <v>71</v>
      </c>
      <c r="M3" s="14" t="s">
        <v>72</v>
      </c>
      <c r="N3" s="14" t="s">
        <v>73</v>
      </c>
    </row>
    <row r="4" spans="1:15" ht="15.75" customHeight="1" x14ac:dyDescent="0.15">
      <c r="A4" s="2" t="s">
        <v>15</v>
      </c>
      <c r="B4" s="34">
        <f t="shared" ref="B4:B6" si="0">O4/12</f>
        <v>83.333333333333329</v>
      </c>
      <c r="C4" s="34">
        <f t="shared" ref="C4:M4" si="1">B4</f>
        <v>83.333333333333329</v>
      </c>
      <c r="D4" s="34">
        <f t="shared" si="1"/>
        <v>83.333333333333329</v>
      </c>
      <c r="E4" s="34">
        <f t="shared" si="1"/>
        <v>83.333333333333329</v>
      </c>
      <c r="F4" s="34">
        <f t="shared" si="1"/>
        <v>83.333333333333329</v>
      </c>
      <c r="G4" s="34">
        <f t="shared" si="1"/>
        <v>83.333333333333329</v>
      </c>
      <c r="H4" s="34">
        <f t="shared" si="1"/>
        <v>83.333333333333329</v>
      </c>
      <c r="I4" s="34">
        <f t="shared" si="1"/>
        <v>83.333333333333329</v>
      </c>
      <c r="J4" s="34">
        <f t="shared" si="1"/>
        <v>83.333333333333329</v>
      </c>
      <c r="K4" s="34">
        <f t="shared" si="1"/>
        <v>83.333333333333329</v>
      </c>
      <c r="L4" s="34">
        <f t="shared" si="1"/>
        <v>83.333333333333329</v>
      </c>
      <c r="M4" s="34">
        <f t="shared" si="1"/>
        <v>83.333333333333329</v>
      </c>
      <c r="O4" s="14">
        <v>1000</v>
      </c>
    </row>
    <row r="5" spans="1:15" ht="15.75" customHeight="1" x14ac:dyDescent="0.15">
      <c r="A5" s="2" t="s">
        <v>17</v>
      </c>
      <c r="B5" s="34">
        <f t="shared" si="0"/>
        <v>83.333333333333329</v>
      </c>
      <c r="C5" s="34">
        <f t="shared" ref="C5:M5" si="2">B5</f>
        <v>83.333333333333329</v>
      </c>
      <c r="D5" s="34">
        <f t="shared" si="2"/>
        <v>83.333333333333329</v>
      </c>
      <c r="E5" s="34">
        <f t="shared" si="2"/>
        <v>83.333333333333329</v>
      </c>
      <c r="F5" s="34">
        <f t="shared" si="2"/>
        <v>83.333333333333329</v>
      </c>
      <c r="G5" s="34">
        <f t="shared" si="2"/>
        <v>83.333333333333329</v>
      </c>
      <c r="H5" s="34">
        <f t="shared" si="2"/>
        <v>83.333333333333329</v>
      </c>
      <c r="I5" s="34">
        <f t="shared" si="2"/>
        <v>83.333333333333329</v>
      </c>
      <c r="J5" s="34">
        <f t="shared" si="2"/>
        <v>83.333333333333329</v>
      </c>
      <c r="K5" s="34">
        <f t="shared" si="2"/>
        <v>83.333333333333329</v>
      </c>
      <c r="L5" s="34">
        <f t="shared" si="2"/>
        <v>83.333333333333329</v>
      </c>
      <c r="M5" s="34">
        <f t="shared" si="2"/>
        <v>83.333333333333329</v>
      </c>
      <c r="O5" s="14">
        <v>1000</v>
      </c>
    </row>
    <row r="6" spans="1:15" ht="15.75" customHeight="1" x14ac:dyDescent="0.15">
      <c r="A6" s="2" t="s">
        <v>18</v>
      </c>
      <c r="B6" s="34">
        <f t="shared" si="0"/>
        <v>1341.6666666666667</v>
      </c>
      <c r="C6" s="34">
        <f t="shared" ref="C6:M6" si="3">B6</f>
        <v>1341.6666666666667</v>
      </c>
      <c r="D6" s="34">
        <f t="shared" si="3"/>
        <v>1341.6666666666667</v>
      </c>
      <c r="E6" s="34">
        <f t="shared" si="3"/>
        <v>1341.6666666666667</v>
      </c>
      <c r="F6" s="34">
        <f t="shared" si="3"/>
        <v>1341.6666666666667</v>
      </c>
      <c r="G6" s="34">
        <f t="shared" si="3"/>
        <v>1341.6666666666667</v>
      </c>
      <c r="H6" s="34">
        <f t="shared" si="3"/>
        <v>1341.6666666666667</v>
      </c>
      <c r="I6" s="34">
        <f t="shared" si="3"/>
        <v>1341.6666666666667</v>
      </c>
      <c r="J6" s="34">
        <f t="shared" si="3"/>
        <v>1341.6666666666667</v>
      </c>
      <c r="K6" s="34">
        <f t="shared" si="3"/>
        <v>1341.6666666666667</v>
      </c>
      <c r="L6" s="34">
        <f t="shared" si="3"/>
        <v>1341.6666666666667</v>
      </c>
      <c r="M6" s="34">
        <f t="shared" si="3"/>
        <v>1341.6666666666667</v>
      </c>
      <c r="O6" s="14">
        <v>16100</v>
      </c>
    </row>
    <row r="7" spans="1:15" ht="15.75" customHeight="1" x14ac:dyDescent="0.15">
      <c r="A7" s="2" t="s">
        <v>13</v>
      </c>
    </row>
    <row r="8" spans="1:15" ht="15.75" customHeight="1" x14ac:dyDescent="0.15">
      <c r="A8" s="2" t="s">
        <v>10</v>
      </c>
      <c r="B8" s="34">
        <f>O8/12</f>
        <v>166.66666666666666</v>
      </c>
      <c r="C8" s="34">
        <f t="shared" ref="C8:M8" si="4">B8</f>
        <v>166.66666666666666</v>
      </c>
      <c r="D8" s="34">
        <f t="shared" si="4"/>
        <v>166.66666666666666</v>
      </c>
      <c r="E8" s="34">
        <f t="shared" si="4"/>
        <v>166.66666666666666</v>
      </c>
      <c r="F8" s="34">
        <f t="shared" si="4"/>
        <v>166.66666666666666</v>
      </c>
      <c r="G8" s="34">
        <f t="shared" si="4"/>
        <v>166.66666666666666</v>
      </c>
      <c r="H8" s="34">
        <f t="shared" si="4"/>
        <v>166.66666666666666</v>
      </c>
      <c r="I8" s="34">
        <f t="shared" si="4"/>
        <v>166.66666666666666</v>
      </c>
      <c r="J8" s="34">
        <f t="shared" si="4"/>
        <v>166.66666666666666</v>
      </c>
      <c r="K8" s="34">
        <f t="shared" si="4"/>
        <v>166.66666666666666</v>
      </c>
      <c r="L8" s="34">
        <f t="shared" si="4"/>
        <v>166.66666666666666</v>
      </c>
      <c r="M8" s="34">
        <f t="shared" si="4"/>
        <v>166.66666666666666</v>
      </c>
      <c r="O8" s="14">
        <v>2000</v>
      </c>
    </row>
    <row r="9" spans="1:15" ht="15.75" customHeight="1" x14ac:dyDescent="0.15">
      <c r="A9" s="2" t="s">
        <v>11</v>
      </c>
    </row>
    <row r="10" spans="1:15" ht="15.75" customHeight="1" x14ac:dyDescent="0.15">
      <c r="A10" s="2" t="s">
        <v>7</v>
      </c>
      <c r="B10" s="34">
        <f>O10/12</f>
        <v>18091.25</v>
      </c>
      <c r="C10" s="34">
        <f t="shared" ref="C10:M10" si="5">B10</f>
        <v>18091.25</v>
      </c>
      <c r="D10" s="34">
        <f t="shared" si="5"/>
        <v>18091.25</v>
      </c>
      <c r="E10" s="34">
        <f t="shared" si="5"/>
        <v>18091.25</v>
      </c>
      <c r="F10" s="34">
        <f t="shared" si="5"/>
        <v>18091.25</v>
      </c>
      <c r="G10" s="34">
        <f t="shared" si="5"/>
        <v>18091.25</v>
      </c>
      <c r="H10" s="34">
        <f t="shared" si="5"/>
        <v>18091.25</v>
      </c>
      <c r="I10" s="34">
        <f t="shared" si="5"/>
        <v>18091.25</v>
      </c>
      <c r="J10" s="34">
        <f t="shared" si="5"/>
        <v>18091.25</v>
      </c>
      <c r="K10" s="34">
        <f t="shared" si="5"/>
        <v>18091.25</v>
      </c>
      <c r="L10" s="34">
        <f t="shared" si="5"/>
        <v>18091.25</v>
      </c>
      <c r="M10" s="34">
        <f t="shared" si="5"/>
        <v>18091.25</v>
      </c>
      <c r="O10" s="14">
        <v>217095</v>
      </c>
    </row>
    <row r="11" spans="1:15" ht="15.75" customHeight="1" x14ac:dyDescent="0.15">
      <c r="A11" s="2" t="s">
        <v>12</v>
      </c>
    </row>
    <row r="12" spans="1:15" ht="15.75" customHeight="1" x14ac:dyDescent="0.15">
      <c r="A12" s="2" t="s">
        <v>19</v>
      </c>
      <c r="B12" s="34">
        <f>O12/12</f>
        <v>1224.3333333333333</v>
      </c>
      <c r="C12" s="34">
        <f t="shared" ref="C12:M12" si="6">B12</f>
        <v>1224.3333333333333</v>
      </c>
      <c r="D12" s="34">
        <f t="shared" si="6"/>
        <v>1224.3333333333333</v>
      </c>
      <c r="E12" s="34">
        <f t="shared" si="6"/>
        <v>1224.3333333333333</v>
      </c>
      <c r="F12" s="34">
        <f t="shared" si="6"/>
        <v>1224.3333333333333</v>
      </c>
      <c r="G12" s="34">
        <f t="shared" si="6"/>
        <v>1224.3333333333333</v>
      </c>
      <c r="H12" s="34">
        <f t="shared" si="6"/>
        <v>1224.3333333333333</v>
      </c>
      <c r="I12" s="34">
        <f t="shared" si="6"/>
        <v>1224.3333333333333</v>
      </c>
      <c r="J12" s="34">
        <f t="shared" si="6"/>
        <v>1224.3333333333333</v>
      </c>
      <c r="K12" s="34">
        <f t="shared" si="6"/>
        <v>1224.3333333333333</v>
      </c>
      <c r="L12" s="34">
        <f t="shared" si="6"/>
        <v>1224.3333333333333</v>
      </c>
      <c r="M12" s="34">
        <f t="shared" si="6"/>
        <v>1224.3333333333333</v>
      </c>
      <c r="O12" s="14">
        <v>14692</v>
      </c>
    </row>
    <row r="13" spans="1:15" ht="15.75" customHeight="1" x14ac:dyDescent="0.15">
      <c r="A13" s="2" t="s">
        <v>21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5" ht="15.75" customHeight="1" x14ac:dyDescent="0.15">
      <c r="A14" s="2" t="s">
        <v>8</v>
      </c>
      <c r="B14" s="14">
        <v>1166</v>
      </c>
      <c r="C14">
        <f t="shared" ref="C14:F14" si="7">B14</f>
        <v>1166</v>
      </c>
      <c r="D14">
        <f t="shared" si="7"/>
        <v>1166</v>
      </c>
      <c r="E14">
        <f t="shared" si="7"/>
        <v>1166</v>
      </c>
      <c r="F14">
        <f t="shared" si="7"/>
        <v>1166</v>
      </c>
      <c r="J14" s="14">
        <v>1166</v>
      </c>
      <c r="K14" s="14">
        <v>1166</v>
      </c>
      <c r="L14" s="14">
        <v>1166</v>
      </c>
      <c r="M14" s="14">
        <v>1166</v>
      </c>
      <c r="O14" s="14">
        <v>10494</v>
      </c>
    </row>
    <row r="15" spans="1:15" ht="15.75" customHeight="1" x14ac:dyDescent="0.15">
      <c r="A15" s="2" t="s">
        <v>22</v>
      </c>
      <c r="B15" s="34">
        <f>O15/12</f>
        <v>0</v>
      </c>
      <c r="C15" s="34">
        <f t="shared" ref="C15:M15" si="8">B15</f>
        <v>0</v>
      </c>
      <c r="D15" s="34">
        <f t="shared" si="8"/>
        <v>0</v>
      </c>
      <c r="E15" s="34">
        <f t="shared" si="8"/>
        <v>0</v>
      </c>
      <c r="F15" s="34">
        <f t="shared" si="8"/>
        <v>0</v>
      </c>
      <c r="G15" s="34">
        <f t="shared" si="8"/>
        <v>0</v>
      </c>
      <c r="H15" s="34">
        <f t="shared" si="8"/>
        <v>0</v>
      </c>
      <c r="I15" s="34">
        <f t="shared" si="8"/>
        <v>0</v>
      </c>
      <c r="J15" s="34">
        <f t="shared" si="8"/>
        <v>0</v>
      </c>
      <c r="K15" s="34">
        <f t="shared" si="8"/>
        <v>0</v>
      </c>
      <c r="L15" s="34">
        <f t="shared" si="8"/>
        <v>0</v>
      </c>
      <c r="M15" s="34">
        <f t="shared" si="8"/>
        <v>0</v>
      </c>
    </row>
    <row r="16" spans="1:15" ht="15.75" customHeight="1" x14ac:dyDescent="0.15">
      <c r="A16" s="2" t="s">
        <v>24</v>
      </c>
    </row>
    <row r="17" spans="1:18" ht="15.75" customHeight="1" x14ac:dyDescent="0.15">
      <c r="A17" s="2"/>
    </row>
    <row r="18" spans="1:18" ht="15.75" customHeight="1" x14ac:dyDescent="0.15">
      <c r="A18" s="3" t="s">
        <v>25</v>
      </c>
      <c r="P18" s="14" t="s">
        <v>75</v>
      </c>
      <c r="Q18" s="14" t="s">
        <v>76</v>
      </c>
    </row>
    <row r="19" spans="1:18" ht="15.75" customHeight="1" x14ac:dyDescent="0.15">
      <c r="A19" s="2" t="s">
        <v>26</v>
      </c>
      <c r="B19" s="34">
        <f t="shared" ref="B19:B21" si="9">O19/12</f>
        <v>2474.0833333333335</v>
      </c>
      <c r="C19" s="34">
        <f t="shared" ref="C19:M19" si="10">B19</f>
        <v>2474.0833333333335</v>
      </c>
      <c r="D19" s="34">
        <f t="shared" si="10"/>
        <v>2474.0833333333335</v>
      </c>
      <c r="E19" s="34">
        <f t="shared" si="10"/>
        <v>2474.0833333333335</v>
      </c>
      <c r="F19" s="34">
        <f t="shared" si="10"/>
        <v>2474.0833333333335</v>
      </c>
      <c r="G19" s="34">
        <f t="shared" si="10"/>
        <v>2474.0833333333335</v>
      </c>
      <c r="H19" s="34">
        <f t="shared" si="10"/>
        <v>2474.0833333333335</v>
      </c>
      <c r="I19" s="34">
        <f t="shared" si="10"/>
        <v>2474.0833333333335</v>
      </c>
      <c r="J19" s="34">
        <f t="shared" si="10"/>
        <v>2474.0833333333335</v>
      </c>
      <c r="K19" s="34">
        <f t="shared" si="10"/>
        <v>2474.0833333333335</v>
      </c>
      <c r="L19" s="34">
        <f t="shared" si="10"/>
        <v>2474.0833333333335</v>
      </c>
      <c r="M19" s="34">
        <f t="shared" si="10"/>
        <v>2474.0833333333335</v>
      </c>
      <c r="N19" s="34">
        <f t="shared" ref="N19:N27" si="11">SUM(B19:M19)</f>
        <v>29688.999999999996</v>
      </c>
      <c r="O19" s="35">
        <v>29689</v>
      </c>
      <c r="P19" s="36">
        <f>(1200+500)/12</f>
        <v>141.66666666666666</v>
      </c>
      <c r="Q19" s="35">
        <v>27989</v>
      </c>
    </row>
    <row r="20" spans="1:18" ht="15.75" customHeight="1" x14ac:dyDescent="0.15">
      <c r="A20" s="2" t="s">
        <v>35</v>
      </c>
      <c r="B20" s="34">
        <f t="shared" si="9"/>
        <v>83.333333333333329</v>
      </c>
      <c r="C20" s="34">
        <f t="shared" ref="C20:M20" si="12">B20</f>
        <v>83.333333333333329</v>
      </c>
      <c r="D20" s="34">
        <f t="shared" si="12"/>
        <v>83.333333333333329</v>
      </c>
      <c r="E20" s="34">
        <f t="shared" si="12"/>
        <v>83.333333333333329</v>
      </c>
      <c r="F20" s="34">
        <f t="shared" si="12"/>
        <v>83.333333333333329</v>
      </c>
      <c r="G20" s="34">
        <f t="shared" si="12"/>
        <v>83.333333333333329</v>
      </c>
      <c r="H20" s="34">
        <f t="shared" si="12"/>
        <v>83.333333333333329</v>
      </c>
      <c r="I20" s="34">
        <f t="shared" si="12"/>
        <v>83.333333333333329</v>
      </c>
      <c r="J20" s="34">
        <f t="shared" si="12"/>
        <v>83.333333333333329</v>
      </c>
      <c r="K20" s="34">
        <f t="shared" si="12"/>
        <v>83.333333333333329</v>
      </c>
      <c r="L20" s="34">
        <f t="shared" si="12"/>
        <v>83.333333333333329</v>
      </c>
      <c r="M20" s="34">
        <f t="shared" si="12"/>
        <v>83.333333333333329</v>
      </c>
      <c r="N20" s="34">
        <f t="shared" si="11"/>
        <v>1000.0000000000001</v>
      </c>
      <c r="O20" s="35">
        <v>1000</v>
      </c>
      <c r="P20" s="36">
        <f t="shared" ref="P20:P21" si="13">O20/12</f>
        <v>83.333333333333329</v>
      </c>
      <c r="Q20" s="36"/>
    </row>
    <row r="21" spans="1:18" ht="15.75" customHeight="1" x14ac:dyDescent="0.15">
      <c r="A21" s="2" t="s">
        <v>27</v>
      </c>
      <c r="B21" s="34">
        <f t="shared" si="9"/>
        <v>400</v>
      </c>
      <c r="C21" s="34">
        <f t="shared" ref="C21:M21" si="14">B21</f>
        <v>400</v>
      </c>
      <c r="D21" s="34">
        <f t="shared" si="14"/>
        <v>400</v>
      </c>
      <c r="E21" s="34">
        <f t="shared" si="14"/>
        <v>400</v>
      </c>
      <c r="F21" s="34">
        <f t="shared" si="14"/>
        <v>400</v>
      </c>
      <c r="G21" s="34">
        <f t="shared" si="14"/>
        <v>400</v>
      </c>
      <c r="H21" s="34">
        <f t="shared" si="14"/>
        <v>400</v>
      </c>
      <c r="I21" s="34">
        <f t="shared" si="14"/>
        <v>400</v>
      </c>
      <c r="J21" s="34">
        <f t="shared" si="14"/>
        <v>400</v>
      </c>
      <c r="K21" s="34">
        <f t="shared" si="14"/>
        <v>400</v>
      </c>
      <c r="L21" s="34">
        <f t="shared" si="14"/>
        <v>400</v>
      </c>
      <c r="M21" s="34">
        <f t="shared" si="14"/>
        <v>400</v>
      </c>
      <c r="N21" s="34">
        <f t="shared" si="11"/>
        <v>4800</v>
      </c>
      <c r="O21" s="35">
        <v>4800</v>
      </c>
      <c r="P21" s="36">
        <f t="shared" si="13"/>
        <v>400</v>
      </c>
      <c r="Q21" s="36"/>
    </row>
    <row r="22" spans="1:18" ht="15.75" customHeight="1" x14ac:dyDescent="0.15">
      <c r="A22" s="2" t="s">
        <v>28</v>
      </c>
      <c r="B22" s="37">
        <f>7053.25+P22</f>
        <v>9107.4166666666661</v>
      </c>
      <c r="C22" s="37">
        <f>7053.25+P22</f>
        <v>9107.4166666666661</v>
      </c>
      <c r="D22" s="37">
        <f>7053.25+P22</f>
        <v>9107.4166666666661</v>
      </c>
      <c r="E22" s="37">
        <f>7053.25+P22</f>
        <v>9107.4166666666661</v>
      </c>
      <c r="F22" s="37">
        <f>7053.25+P22</f>
        <v>9107.4166666666661</v>
      </c>
      <c r="G22" s="37">
        <f>6664.31+P22</f>
        <v>8718.4766666666674</v>
      </c>
      <c r="H22" s="37">
        <f>6275.38+P22</f>
        <v>8329.5466666666671</v>
      </c>
      <c r="I22" s="37">
        <f>7053.25+P22</f>
        <v>9107.4166666666661</v>
      </c>
      <c r="J22" s="37">
        <f>7053.25+P22</f>
        <v>9107.4166666666661</v>
      </c>
      <c r="K22" s="37">
        <f>7053.25+P22</f>
        <v>9107.4166666666661</v>
      </c>
      <c r="L22" s="37">
        <f>7053.25+P22</f>
        <v>9107.4166666666661</v>
      </c>
      <c r="M22" s="37">
        <f>7053.25+P22</f>
        <v>9107.4166666666661</v>
      </c>
      <c r="N22" s="34">
        <f t="shared" si="11"/>
        <v>108122.19000000002</v>
      </c>
      <c r="O22" s="35">
        <v>108122</v>
      </c>
      <c r="P22" s="36">
        <f>(O22-Q22-1050)/12</f>
        <v>2054.1666666666665</v>
      </c>
      <c r="Q22" s="36">
        <f>47268+4701+28288+2165</f>
        <v>82422</v>
      </c>
      <c r="R22" s="36">
        <f>O22-N22</f>
        <v>-0.19000000001688022</v>
      </c>
    </row>
    <row r="23" spans="1:18" ht="15.75" customHeight="1" x14ac:dyDescent="0.15">
      <c r="A23" s="2" t="s">
        <v>34</v>
      </c>
      <c r="B23" s="34">
        <f>O23/12</f>
        <v>1737.5</v>
      </c>
      <c r="C23" s="34">
        <f t="shared" ref="C23:M23" si="15">B23</f>
        <v>1737.5</v>
      </c>
      <c r="D23" s="34">
        <f t="shared" si="15"/>
        <v>1737.5</v>
      </c>
      <c r="E23" s="34">
        <f t="shared" si="15"/>
        <v>1737.5</v>
      </c>
      <c r="F23" s="34">
        <f t="shared" si="15"/>
        <v>1737.5</v>
      </c>
      <c r="G23" s="34">
        <f t="shared" si="15"/>
        <v>1737.5</v>
      </c>
      <c r="H23" s="34">
        <f t="shared" si="15"/>
        <v>1737.5</v>
      </c>
      <c r="I23" s="34">
        <f t="shared" si="15"/>
        <v>1737.5</v>
      </c>
      <c r="J23" s="34">
        <f t="shared" si="15"/>
        <v>1737.5</v>
      </c>
      <c r="K23" s="34">
        <f t="shared" si="15"/>
        <v>1737.5</v>
      </c>
      <c r="L23" s="34">
        <f t="shared" si="15"/>
        <v>1737.5</v>
      </c>
      <c r="M23" s="34">
        <f t="shared" si="15"/>
        <v>1737.5</v>
      </c>
      <c r="N23" s="34">
        <f t="shared" si="11"/>
        <v>20850</v>
      </c>
      <c r="O23" s="35">
        <v>20850</v>
      </c>
      <c r="P23" s="36">
        <f>O23/12</f>
        <v>1737.5</v>
      </c>
      <c r="Q23" s="36"/>
    </row>
    <row r="24" spans="1:18" ht="15.75" customHeight="1" x14ac:dyDescent="0.15">
      <c r="A24" s="2" t="s">
        <v>29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>
        <f t="shared" si="11"/>
        <v>0</v>
      </c>
      <c r="O24" s="36"/>
      <c r="P24" s="36"/>
      <c r="Q24" s="36"/>
    </row>
    <row r="25" spans="1:18" ht="15.75" customHeight="1" x14ac:dyDescent="0.15">
      <c r="A25" s="2" t="s">
        <v>30</v>
      </c>
      <c r="B25" s="34">
        <f>O25/12</f>
        <v>5244.833333333333</v>
      </c>
      <c r="C25" s="34">
        <f t="shared" ref="C25:M25" si="16">B25</f>
        <v>5244.833333333333</v>
      </c>
      <c r="D25" s="34">
        <f t="shared" si="16"/>
        <v>5244.833333333333</v>
      </c>
      <c r="E25" s="34">
        <f t="shared" si="16"/>
        <v>5244.833333333333</v>
      </c>
      <c r="F25" s="34">
        <f t="shared" si="16"/>
        <v>5244.833333333333</v>
      </c>
      <c r="G25" s="34">
        <f t="shared" si="16"/>
        <v>5244.833333333333</v>
      </c>
      <c r="H25" s="34">
        <f t="shared" si="16"/>
        <v>5244.833333333333</v>
      </c>
      <c r="I25" s="34">
        <f t="shared" si="16"/>
        <v>5244.833333333333</v>
      </c>
      <c r="J25" s="34">
        <f t="shared" si="16"/>
        <v>5244.833333333333</v>
      </c>
      <c r="K25" s="34">
        <f t="shared" si="16"/>
        <v>5244.833333333333</v>
      </c>
      <c r="L25" s="34">
        <f t="shared" si="16"/>
        <v>5244.833333333333</v>
      </c>
      <c r="M25" s="34">
        <f t="shared" si="16"/>
        <v>5244.833333333333</v>
      </c>
      <c r="N25" s="34">
        <f t="shared" si="11"/>
        <v>62938.000000000007</v>
      </c>
      <c r="O25" s="35">
        <v>62938</v>
      </c>
      <c r="P25" s="36">
        <f>O25/12</f>
        <v>5244.833333333333</v>
      </c>
      <c r="Q25" s="36"/>
    </row>
    <row r="26" spans="1:18" ht="15.75" customHeight="1" x14ac:dyDescent="0.15">
      <c r="A26" s="2" t="s">
        <v>32</v>
      </c>
      <c r="B26" s="34">
        <f t="shared" ref="B26:M26" si="17">$P$26+B32</f>
        <v>3305.58</v>
      </c>
      <c r="C26" s="34">
        <f t="shared" si="17"/>
        <v>3305.58</v>
      </c>
      <c r="D26" s="34">
        <f t="shared" si="17"/>
        <v>3305.58</v>
      </c>
      <c r="E26" s="34">
        <f t="shared" si="17"/>
        <v>3305.58</v>
      </c>
      <c r="F26" s="34">
        <f t="shared" si="17"/>
        <v>3053.08</v>
      </c>
      <c r="G26" s="34">
        <f t="shared" si="17"/>
        <v>1692.6</v>
      </c>
      <c r="H26" s="34">
        <f t="shared" si="17"/>
        <v>1692.6</v>
      </c>
      <c r="I26" s="34">
        <f t="shared" si="17"/>
        <v>1692.6</v>
      </c>
      <c r="J26" s="34">
        <f t="shared" si="17"/>
        <v>3053.08</v>
      </c>
      <c r="K26" s="34">
        <f t="shared" si="17"/>
        <v>3305.58</v>
      </c>
      <c r="L26" s="34">
        <f t="shared" si="17"/>
        <v>3305.58</v>
      </c>
      <c r="M26" s="34">
        <f t="shared" si="17"/>
        <v>3305.58</v>
      </c>
      <c r="N26" s="34">
        <f t="shared" si="11"/>
        <v>34323.020000000004</v>
      </c>
      <c r="O26" s="35">
        <v>34323</v>
      </c>
      <c r="P26" s="36">
        <f>(2220+2850)/12</f>
        <v>422.5</v>
      </c>
      <c r="Q26" s="36">
        <f>29253-600</f>
        <v>28653</v>
      </c>
    </row>
    <row r="27" spans="1:18" ht="15.75" customHeight="1" x14ac:dyDescent="0.15">
      <c r="A27" s="2" t="s">
        <v>36</v>
      </c>
      <c r="B27" s="34">
        <f>O27/12</f>
        <v>2028</v>
      </c>
      <c r="C27" s="34">
        <f t="shared" ref="C27:M27" si="18">B27</f>
        <v>2028</v>
      </c>
      <c r="D27" s="34">
        <f t="shared" si="18"/>
        <v>2028</v>
      </c>
      <c r="E27" s="34">
        <f t="shared" si="18"/>
        <v>2028</v>
      </c>
      <c r="F27" s="34">
        <f t="shared" si="18"/>
        <v>2028</v>
      </c>
      <c r="G27" s="34">
        <f t="shared" si="18"/>
        <v>2028</v>
      </c>
      <c r="H27" s="34">
        <f t="shared" si="18"/>
        <v>2028</v>
      </c>
      <c r="I27" s="34">
        <f t="shared" si="18"/>
        <v>2028</v>
      </c>
      <c r="J27" s="34">
        <f t="shared" si="18"/>
        <v>2028</v>
      </c>
      <c r="K27" s="34">
        <f t="shared" si="18"/>
        <v>2028</v>
      </c>
      <c r="L27" s="34">
        <f t="shared" si="18"/>
        <v>2028</v>
      </c>
      <c r="M27" s="34">
        <f t="shared" si="18"/>
        <v>2028</v>
      </c>
      <c r="N27" s="34">
        <f t="shared" si="11"/>
        <v>24336</v>
      </c>
      <c r="O27" s="35">
        <v>24336</v>
      </c>
      <c r="P27" s="36"/>
      <c r="Q27" s="36"/>
    </row>
    <row r="28" spans="1:18" ht="15.75" customHeight="1" x14ac:dyDescent="0.15">
      <c r="A28" s="2" t="s">
        <v>38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36"/>
      <c r="Q28" s="36"/>
    </row>
    <row r="32" spans="1:18" ht="15.75" customHeight="1" x14ac:dyDescent="0.15">
      <c r="A32" s="14" t="s">
        <v>78</v>
      </c>
      <c r="B32" s="38">
        <v>2883.08</v>
      </c>
      <c r="C32" s="38">
        <v>2883.08</v>
      </c>
      <c r="D32" s="38">
        <v>2883.08</v>
      </c>
      <c r="E32" s="38">
        <v>2883.08</v>
      </c>
      <c r="F32" s="38">
        <v>2630.58</v>
      </c>
      <c r="G32" s="38">
        <v>1270.0999999999999</v>
      </c>
      <c r="H32" s="38">
        <v>1270.0999999999999</v>
      </c>
      <c r="I32" s="38">
        <v>1270.0999999999999</v>
      </c>
      <c r="J32" s="38">
        <v>2630.58</v>
      </c>
      <c r="K32" s="38">
        <v>2883.08</v>
      </c>
      <c r="L32" s="38">
        <v>2883.08</v>
      </c>
      <c r="M32" s="38">
        <v>2883.08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"/>
  <sheetViews>
    <sheetView workbookViewId="0"/>
  </sheetViews>
  <sheetFormatPr baseColWidth="10" defaultColWidth="14.5" defaultRowHeight="15.75" customHeight="1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12"/>
  <sheetViews>
    <sheetView workbookViewId="0"/>
  </sheetViews>
  <sheetFormatPr baseColWidth="10" defaultColWidth="14.5" defaultRowHeight="15.75" customHeight="1" x14ac:dyDescent="0.15"/>
  <cols>
    <col min="1" max="1" width="27.33203125" customWidth="1"/>
  </cols>
  <sheetData>
    <row r="1" spans="1:27" ht="16" x14ac:dyDescent="0.2">
      <c r="A1" s="1">
        <v>43313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7</v>
      </c>
      <c r="B3" s="6">
        <v>12888.2</v>
      </c>
      <c r="C3" s="7">
        <f>July!C3+B3</f>
        <v>112328.35</v>
      </c>
      <c r="D3" s="7">
        <f>'Budget by Month'!I10</f>
        <v>18091.25</v>
      </c>
      <c r="E3" s="7">
        <f>D3+July!E3</f>
        <v>144730</v>
      </c>
      <c r="F3" s="7">
        <f>'Budget by Month'!O10</f>
        <v>217095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8</v>
      </c>
      <c r="B4" s="6"/>
      <c r="C4" s="7">
        <f>July!C4+B4</f>
        <v>6365</v>
      </c>
      <c r="D4" s="7">
        <f>'Budget by Month'!I14</f>
        <v>0</v>
      </c>
      <c r="E4" s="7">
        <f>D4+July!E4</f>
        <v>5830</v>
      </c>
      <c r="F4" s="7">
        <f>'Budget by Month'!O14</f>
        <v>10494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10</v>
      </c>
      <c r="B5" s="6">
        <v>66.2</v>
      </c>
      <c r="C5" s="7">
        <f>July!C5+B5</f>
        <v>1058.32</v>
      </c>
      <c r="D5" s="7">
        <f>'Budget by Month'!I8</f>
        <v>166.66666666666666</v>
      </c>
      <c r="E5" s="7">
        <f>D5+July!E11</f>
        <v>749.99999999999989</v>
      </c>
      <c r="F5" s="7">
        <f>'Budget by Month'!O8</f>
        <v>2000</v>
      </c>
    </row>
    <row r="6" spans="1:27" ht="15.75" customHeight="1" x14ac:dyDescent="0.15">
      <c r="A6" s="2" t="s">
        <v>11</v>
      </c>
      <c r="B6" s="6">
        <v>2</v>
      </c>
      <c r="C6" s="7">
        <f>July!C6+B6</f>
        <v>25.15</v>
      </c>
      <c r="D6" s="7">
        <f>'Budget by Month'!I9</f>
        <v>0</v>
      </c>
      <c r="E6" s="7">
        <f>D6+July!E12</f>
        <v>583.33333333333326</v>
      </c>
      <c r="F6" s="7">
        <f>'Budget by Month'!O9</f>
        <v>0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12</v>
      </c>
      <c r="B7" s="6"/>
      <c r="C7" s="7">
        <f>July!C7+B7</f>
        <v>22.64</v>
      </c>
      <c r="D7" s="7">
        <f>'Budget by Month'!I11</f>
        <v>0</v>
      </c>
      <c r="E7" s="7">
        <f>D7+July!E13</f>
        <v>9391.6666666666679</v>
      </c>
      <c r="F7" s="7">
        <f>'Budget by Month'!O11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13</v>
      </c>
      <c r="B8" s="10"/>
      <c r="C8" s="7">
        <f>July!C8+B8</f>
        <v>0</v>
      </c>
      <c r="D8" s="7">
        <f>'Budget by Month'!I7</f>
        <v>0</v>
      </c>
      <c r="E8" s="7">
        <f>D8+July!E14</f>
        <v>8570.3333333333321</v>
      </c>
      <c r="F8" s="7">
        <f>'Budget by Month'!O7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11" t="s">
        <v>14</v>
      </c>
      <c r="B9" s="12">
        <f t="shared" ref="B9:F9" si="0">SUM(B3:B8)</f>
        <v>12956.400000000001</v>
      </c>
      <c r="C9" s="12">
        <f t="shared" si="0"/>
        <v>119799.46</v>
      </c>
      <c r="D9" s="12">
        <f t="shared" si="0"/>
        <v>18257.916666666668</v>
      </c>
      <c r="E9" s="12">
        <f t="shared" si="0"/>
        <v>169855.33333333334</v>
      </c>
      <c r="F9" s="12">
        <f t="shared" si="0"/>
        <v>229589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15</v>
      </c>
      <c r="B11" s="6">
        <v>10</v>
      </c>
      <c r="C11" s="7">
        <f>July!C11+B11</f>
        <v>372</v>
      </c>
      <c r="D11" s="7">
        <f>'Budget by Month'!I4</f>
        <v>83.333333333333329</v>
      </c>
      <c r="E11" s="7">
        <f>D11+July!E11</f>
        <v>666.66666666666663</v>
      </c>
      <c r="F11" s="7">
        <f>'Budget by Month'!O4</f>
        <v>1000</v>
      </c>
    </row>
    <row r="12" spans="1:27" ht="15.75" customHeight="1" x14ac:dyDescent="0.15">
      <c r="A12" s="2" t="s">
        <v>17</v>
      </c>
      <c r="B12" s="6">
        <v>4081.69</v>
      </c>
      <c r="C12" s="7">
        <f>July!C12+B12</f>
        <v>28748.489999999998</v>
      </c>
      <c r="D12" s="7">
        <f>'Budget by Month'!I5</f>
        <v>83.333333333333329</v>
      </c>
      <c r="E12" s="7">
        <f>D12+July!E12</f>
        <v>666.66666666666663</v>
      </c>
      <c r="F12" s="7">
        <f>'Budget by Month'!O5</f>
        <v>1000</v>
      </c>
    </row>
    <row r="13" spans="1:27" ht="15.75" customHeight="1" x14ac:dyDescent="0.15">
      <c r="A13" s="2" t="s">
        <v>18</v>
      </c>
      <c r="B13" s="10"/>
      <c r="C13" s="7">
        <f>July!C13+B13</f>
        <v>0</v>
      </c>
      <c r="D13" s="7">
        <f>'Budget by Month'!I6</f>
        <v>1341.6666666666667</v>
      </c>
      <c r="E13" s="7">
        <f>D13+July!E13</f>
        <v>10733.333333333334</v>
      </c>
      <c r="F13" s="7">
        <f>'Budget by Month'!O6</f>
        <v>16100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19</v>
      </c>
      <c r="B14" s="6">
        <v>685</v>
      </c>
      <c r="C14" s="7">
        <f>July!C14+B14</f>
        <v>8520</v>
      </c>
      <c r="D14" s="7">
        <f>'Budget by Month'!I12</f>
        <v>1224.3333333333333</v>
      </c>
      <c r="E14" s="7">
        <f>D14+July!E14</f>
        <v>9794.6666666666661</v>
      </c>
      <c r="F14" s="7">
        <f>'Budget by Month'!O12</f>
        <v>14692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21</v>
      </c>
      <c r="B15" s="6"/>
      <c r="C15" s="7">
        <f>July!C15+B15</f>
        <v>767</v>
      </c>
      <c r="D15" s="7">
        <f>'Budget by Month'!I13</f>
        <v>0</v>
      </c>
      <c r="E15" s="7">
        <f>D15+July!E15</f>
        <v>0</v>
      </c>
      <c r="F15" s="7">
        <f>'Budget by Month'!O13</f>
        <v>0</v>
      </c>
    </row>
    <row r="16" spans="1:27" ht="15.75" customHeight="1" x14ac:dyDescent="0.15">
      <c r="A16" s="2" t="s">
        <v>22</v>
      </c>
      <c r="B16" s="6"/>
      <c r="C16" s="7">
        <f>July!C16+B16</f>
        <v>185</v>
      </c>
      <c r="D16" s="7">
        <f>'Budget by Month'!I15</f>
        <v>0</v>
      </c>
      <c r="E16" s="7">
        <f>D16+July!E16</f>
        <v>0</v>
      </c>
      <c r="F16" s="7">
        <f>'Budget by Month'!O15</f>
        <v>0</v>
      </c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15" t="s">
        <v>23</v>
      </c>
      <c r="B17" s="16">
        <f t="shared" ref="B17:F17" si="1">SUM(B11:B16)</f>
        <v>4776.6900000000005</v>
      </c>
      <c r="C17" s="16">
        <f t="shared" si="1"/>
        <v>38592.49</v>
      </c>
      <c r="D17" s="16">
        <f t="shared" si="1"/>
        <v>2732.666666666667</v>
      </c>
      <c r="E17" s="16">
        <f t="shared" si="1"/>
        <v>21861.333333333336</v>
      </c>
      <c r="F17" s="16">
        <f t="shared" si="1"/>
        <v>32792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3"/>
      <c r="B18" s="17"/>
      <c r="C18" s="17"/>
      <c r="D18" s="17"/>
      <c r="E18" s="17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3" t="s">
        <v>24</v>
      </c>
      <c r="B19" s="16">
        <f t="shared" ref="B19:F19" si="2">B9+B17</f>
        <v>17733.090000000004</v>
      </c>
      <c r="C19" s="16">
        <f t="shared" si="2"/>
        <v>158391.95000000001</v>
      </c>
      <c r="D19" s="16">
        <f t="shared" si="2"/>
        <v>20990.583333333336</v>
      </c>
      <c r="E19" s="16">
        <f t="shared" si="2"/>
        <v>191716.66666666669</v>
      </c>
      <c r="F19" s="16">
        <f t="shared" si="2"/>
        <v>262381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/>
      <c r="B20" s="10"/>
      <c r="C20" s="10"/>
      <c r="D20" s="10"/>
      <c r="E20" s="10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3" t="s">
        <v>25</v>
      </c>
      <c r="B21" s="18"/>
      <c r="C21" s="7"/>
      <c r="D21" s="18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26</v>
      </c>
      <c r="B22" s="6">
        <v>2341.02</v>
      </c>
      <c r="C22" s="7">
        <f>July!C22+B22</f>
        <v>18869.419999999998</v>
      </c>
      <c r="D22" s="7">
        <f>'Budget by Month'!F19</f>
        <v>2474.0833333333335</v>
      </c>
      <c r="E22" s="7">
        <f>D22+July!E22</f>
        <v>19792.666666666668</v>
      </c>
      <c r="F22" s="7">
        <f>'Budget by Month'!N19</f>
        <v>29688.999999999996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27</v>
      </c>
      <c r="B23" s="6">
        <v>116</v>
      </c>
      <c r="C23" s="7">
        <f>July!C23+B23</f>
        <v>2213.4700000000003</v>
      </c>
      <c r="D23" s="7">
        <f>'Budget by Month'!F21</f>
        <v>400</v>
      </c>
      <c r="E23" s="7">
        <f>D23+July!E23</f>
        <v>3200</v>
      </c>
      <c r="F23" s="7">
        <f>'Budget by Month'!N21</f>
        <v>4800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28</v>
      </c>
      <c r="B24" s="6">
        <v>8109.09</v>
      </c>
      <c r="C24" s="7">
        <f>July!C24+B24</f>
        <v>64573.649999999994</v>
      </c>
      <c r="D24" s="7">
        <f>'Budget by Month'!F22</f>
        <v>9107.4166666666661</v>
      </c>
      <c r="E24" s="7">
        <f>D24+July!E24</f>
        <v>71692.523333333331</v>
      </c>
      <c r="F24" s="7">
        <f>'Budget by Month'!N22</f>
        <v>108122.19000000002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29</v>
      </c>
      <c r="B25" s="6">
        <v>-319.82</v>
      </c>
      <c r="C25" s="7">
        <f>July!C25+B25</f>
        <v>902.43999999999983</v>
      </c>
      <c r="D25" s="7">
        <f>'Budget by Month'!F24</f>
        <v>0</v>
      </c>
      <c r="E25" s="7">
        <f>D25+July!E25</f>
        <v>0</v>
      </c>
      <c r="F25" s="7">
        <f>'Budget by Month'!N24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30</v>
      </c>
      <c r="B26" s="6">
        <v>7275.36</v>
      </c>
      <c r="C26" s="7">
        <f>July!C26+B26</f>
        <v>55820.200000000004</v>
      </c>
      <c r="D26" s="7">
        <f>'Budget by Month'!F25</f>
        <v>5244.833333333333</v>
      </c>
      <c r="E26" s="7">
        <f>D26+July!E26</f>
        <v>41958.666666666664</v>
      </c>
      <c r="F26" s="7">
        <f>'Budget by Month'!N25</f>
        <v>62938.000000000007</v>
      </c>
      <c r="G26" s="14" t="s">
        <v>31</v>
      </c>
    </row>
    <row r="27" spans="1:27" ht="15.75" customHeight="1" x14ac:dyDescent="0.15">
      <c r="A27" s="2" t="s">
        <v>32</v>
      </c>
      <c r="B27" s="6">
        <v>1904.06</v>
      </c>
      <c r="C27" s="7">
        <f>July!C27+B27</f>
        <v>21522.49</v>
      </c>
      <c r="D27" s="7">
        <f>'Budget by Month'!F26</f>
        <v>3053.08</v>
      </c>
      <c r="E27" s="7">
        <f>D27+July!E27</f>
        <v>22713.68</v>
      </c>
      <c r="F27" s="7">
        <f>'Budget by Month'!N26</f>
        <v>34323.020000000004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11" t="s">
        <v>33</v>
      </c>
      <c r="B28" s="12">
        <f t="shared" ref="B28:F28" si="3">SUM(B22:B27)</f>
        <v>19425.710000000003</v>
      </c>
      <c r="C28" s="12">
        <f t="shared" si="3"/>
        <v>163901.66999999998</v>
      </c>
      <c r="D28" s="12">
        <f t="shared" si="3"/>
        <v>20279.41333333333</v>
      </c>
      <c r="E28" s="12">
        <f t="shared" si="3"/>
        <v>159357.53666666665</v>
      </c>
      <c r="F28" s="12">
        <f t="shared" si="3"/>
        <v>239872.21000000002</v>
      </c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34</v>
      </c>
      <c r="B30" s="6">
        <v>4123.84</v>
      </c>
      <c r="C30" s="7">
        <f>'June ALT'!C32+B30</f>
        <v>8002.9</v>
      </c>
      <c r="D30" s="7">
        <f>'Budget by Month'!F23</f>
        <v>1737.5</v>
      </c>
      <c r="E30" s="7">
        <f>D30+July!E30</f>
        <v>13900</v>
      </c>
      <c r="F30" s="7">
        <f>'Budget by Month'!N23</f>
        <v>20850</v>
      </c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 t="s">
        <v>35</v>
      </c>
      <c r="B31" s="6"/>
      <c r="C31" s="7">
        <f>'June ALT'!C33+B31</f>
        <v>582</v>
      </c>
      <c r="D31" s="7">
        <f>'Budget by Month'!F20</f>
        <v>83.333333333333329</v>
      </c>
      <c r="E31" s="7">
        <f>D31+July!E31</f>
        <v>666.66666666666663</v>
      </c>
      <c r="F31" s="7">
        <f>'Budget by Month'!N20</f>
        <v>1000.0000000000001</v>
      </c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 t="s">
        <v>36</v>
      </c>
      <c r="B32" s="20"/>
      <c r="C32" s="20">
        <f>'June ALT'!C34+B32</f>
        <v>21122</v>
      </c>
      <c r="D32" s="21">
        <f>'Budget by Month'!F27</f>
        <v>2028</v>
      </c>
      <c r="E32" s="21">
        <f>D32+July!E32</f>
        <v>16224</v>
      </c>
      <c r="F32" s="21">
        <f>'Budget by Month'!N27</f>
        <v>24336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15" t="s">
        <v>37</v>
      </c>
      <c r="B33" s="16">
        <f t="shared" ref="B33:F33" si="4">SUM(B30:B32)</f>
        <v>4123.84</v>
      </c>
      <c r="C33" s="16">
        <f t="shared" si="4"/>
        <v>29706.9</v>
      </c>
      <c r="D33" s="16">
        <f t="shared" si="4"/>
        <v>3848.833333333333</v>
      </c>
      <c r="E33" s="16">
        <f t="shared" si="4"/>
        <v>30790.666666666664</v>
      </c>
      <c r="F33" s="16">
        <f t="shared" si="4"/>
        <v>46186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15" t="s">
        <v>38</v>
      </c>
      <c r="B35" s="22">
        <f t="shared" ref="B35:F35" si="5">B28+B33</f>
        <v>23549.550000000003</v>
      </c>
      <c r="C35" s="22">
        <f t="shared" si="5"/>
        <v>193608.56999999998</v>
      </c>
      <c r="D35" s="22">
        <f t="shared" si="5"/>
        <v>24128.246666666662</v>
      </c>
      <c r="E35" s="22">
        <f t="shared" si="5"/>
        <v>190148.20333333331</v>
      </c>
      <c r="F35" s="22">
        <f t="shared" si="5"/>
        <v>286058.21000000002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/>
      <c r="B37" s="23">
        <v>42978</v>
      </c>
      <c r="C37" s="23">
        <v>43343</v>
      </c>
      <c r="D37" s="24" t="s">
        <v>39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3" t="s">
        <v>0</v>
      </c>
      <c r="B38" s="6"/>
      <c r="C38" s="7">
        <f>B19</f>
        <v>17733.090000000004</v>
      </c>
      <c r="D38" s="7">
        <f>D19</f>
        <v>20990.583333333336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3"/>
      <c r="B39" s="10"/>
      <c r="C39" s="10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3"/>
      <c r="B40" s="10"/>
      <c r="C40" s="10"/>
      <c r="D40" s="10"/>
      <c r="E40" s="2"/>
      <c r="F40" s="2"/>
      <c r="G40" s="2"/>
      <c r="H40" s="2"/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3" t="s">
        <v>25</v>
      </c>
      <c r="B41" s="6"/>
      <c r="C41" s="7">
        <f>B35</f>
        <v>23549.550000000003</v>
      </c>
      <c r="D41" s="7">
        <f>D35</f>
        <v>24128.246666666662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8" t="s">
        <v>41</v>
      </c>
      <c r="B43" s="25" t="s">
        <v>42</v>
      </c>
      <c r="C43" s="25">
        <f>C38-C41</f>
        <v>-5816.4599999999991</v>
      </c>
      <c r="D43" s="2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 t="s">
        <v>43</v>
      </c>
      <c r="B44" s="26">
        <v>4587.7</v>
      </c>
      <c r="C44" s="25"/>
      <c r="D44" s="25">
        <f>B44+B45</f>
        <v>12830.7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 t="s">
        <v>44</v>
      </c>
      <c r="B45" s="26">
        <v>8243</v>
      </c>
      <c r="C45" s="25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 t="s">
        <v>36</v>
      </c>
      <c r="B46" s="27"/>
      <c r="C46" s="25"/>
      <c r="D46" s="25"/>
      <c r="E46" s="2"/>
      <c r="F46" s="2"/>
      <c r="G46" s="2"/>
      <c r="H46" s="8"/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5"/>
      <c r="C47" s="25">
        <f>July!B44+July!B45</f>
        <v>18647.37</v>
      </c>
      <c r="D47" s="2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5"/>
      <c r="C48" s="28"/>
      <c r="D48" s="2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5"/>
      <c r="C49" s="25"/>
      <c r="D49" s="2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5">
        <f>SUM(B44:B47)</f>
        <v>12830.7</v>
      </c>
      <c r="C50" s="25">
        <f>C47+C38-C41</f>
        <v>12830.910000000003</v>
      </c>
      <c r="D50" s="2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5"/>
      <c r="C51" s="25"/>
      <c r="D51" s="2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5"/>
      <c r="C52" s="25">
        <f>B50-C50</f>
        <v>-0.21000000000276486</v>
      </c>
      <c r="D52" s="2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3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3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3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3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3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3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12"/>
  <sheetViews>
    <sheetView workbookViewId="0"/>
  </sheetViews>
  <sheetFormatPr baseColWidth="10" defaultColWidth="14.5" defaultRowHeight="15.75" customHeight="1" x14ac:dyDescent="0.15"/>
  <cols>
    <col min="1" max="1" width="27.33203125" customWidth="1"/>
  </cols>
  <sheetData>
    <row r="1" spans="1:27" ht="16" x14ac:dyDescent="0.2">
      <c r="A1" s="1">
        <v>43282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7</v>
      </c>
      <c r="B3" s="6">
        <v>15931.67</v>
      </c>
      <c r="C3" s="7">
        <f>'June ALT'!C3+B3</f>
        <v>99440.150000000009</v>
      </c>
      <c r="D3" s="7">
        <f>'Budget by Month'!H10</f>
        <v>18091.25</v>
      </c>
      <c r="E3" s="7">
        <f>D3+'June ALT'!E3</f>
        <v>126638.75</v>
      </c>
      <c r="F3" s="7">
        <f>'Budget by Month'!O10</f>
        <v>217095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8</v>
      </c>
      <c r="B4" s="6">
        <v>110</v>
      </c>
      <c r="C4" s="7">
        <f>'June ALT'!C4+B4</f>
        <v>6365</v>
      </c>
      <c r="D4" s="7">
        <f>'Budget by Month'!H14</f>
        <v>0</v>
      </c>
      <c r="E4" s="7">
        <f>D4+'June ALT'!E4</f>
        <v>5830</v>
      </c>
      <c r="F4" s="7">
        <f>'Budget by Month'!O14</f>
        <v>10494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10</v>
      </c>
      <c r="B5" s="6">
        <v>85</v>
      </c>
      <c r="C5" s="7">
        <f>'June ALT'!C5+B5</f>
        <v>992.11999999999989</v>
      </c>
      <c r="D5" s="7">
        <f>'Budget by Month'!H8</f>
        <v>166.66666666666666</v>
      </c>
      <c r="E5" s="7">
        <f>D5+'June ALT'!E5</f>
        <v>1166.6666666666665</v>
      </c>
      <c r="F5" s="7">
        <f>'Budget by Month'!O8</f>
        <v>2000</v>
      </c>
    </row>
    <row r="6" spans="1:27" ht="15.75" customHeight="1" x14ac:dyDescent="0.15">
      <c r="A6" s="2" t="s">
        <v>11</v>
      </c>
      <c r="B6" s="6">
        <v>2.3199999999999998</v>
      </c>
      <c r="C6" s="7">
        <f>'June ALT'!C6+B6</f>
        <v>23.15</v>
      </c>
      <c r="D6" s="7">
        <f>'Budget by Month'!H9</f>
        <v>0</v>
      </c>
      <c r="E6" s="7">
        <f>D6+'June ALT'!E6</f>
        <v>0</v>
      </c>
      <c r="F6" s="7">
        <f>'Budget by Month'!O9</f>
        <v>0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12</v>
      </c>
      <c r="B7" s="6"/>
      <c r="C7" s="7">
        <f>'June ALT'!C7+B7</f>
        <v>22.64</v>
      </c>
      <c r="D7" s="7">
        <f>'Budget by Month'!H11</f>
        <v>0</v>
      </c>
      <c r="E7" s="7">
        <f>D7+'June ALT'!E7</f>
        <v>0</v>
      </c>
      <c r="F7" s="7">
        <f>'Budget by Month'!O11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13</v>
      </c>
      <c r="B8" s="10"/>
      <c r="C8" s="7">
        <f>'June ALT'!C8+B8</f>
        <v>0</v>
      </c>
      <c r="D8" s="7">
        <f>'Budget by Month'!H7</f>
        <v>0</v>
      </c>
      <c r="E8" s="7">
        <f>D8+'June ALT'!E8</f>
        <v>0</v>
      </c>
      <c r="F8" s="7">
        <f>'Budget by Month'!O7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11" t="s">
        <v>14</v>
      </c>
      <c r="B9" s="12">
        <f t="shared" ref="B9:F9" si="0">SUM(B3:B8)</f>
        <v>16128.99</v>
      </c>
      <c r="C9" s="12">
        <f t="shared" si="0"/>
        <v>106843.06</v>
      </c>
      <c r="D9" s="12">
        <f t="shared" si="0"/>
        <v>18257.916666666668</v>
      </c>
      <c r="E9" s="12">
        <f t="shared" si="0"/>
        <v>133635.41666666666</v>
      </c>
      <c r="F9" s="12">
        <f t="shared" si="0"/>
        <v>229589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15</v>
      </c>
      <c r="B11" s="6">
        <v>10</v>
      </c>
      <c r="C11" s="7">
        <f>'June ALT'!C11+B11</f>
        <v>362</v>
      </c>
      <c r="D11" s="7">
        <f>'Budget by Month'!H4</f>
        <v>83.333333333333329</v>
      </c>
      <c r="E11" s="7">
        <f>D11+'June ALT'!E11</f>
        <v>583.33333333333326</v>
      </c>
      <c r="F11" s="7">
        <f>'Budget by Month'!O4</f>
        <v>1000</v>
      </c>
    </row>
    <row r="12" spans="1:27" ht="15.75" customHeight="1" x14ac:dyDescent="0.15">
      <c r="A12" s="2" t="s">
        <v>17</v>
      </c>
      <c r="B12" s="6">
        <v>6160</v>
      </c>
      <c r="C12" s="7">
        <f>'June ALT'!C12+B12</f>
        <v>24666.799999999999</v>
      </c>
      <c r="D12" s="7">
        <f>'Budget by Month'!H5</f>
        <v>83.333333333333329</v>
      </c>
      <c r="E12" s="7">
        <f>D12+'June ALT'!E12</f>
        <v>583.33333333333326</v>
      </c>
      <c r="F12" s="7">
        <f>'Budget by Month'!O5</f>
        <v>1000</v>
      </c>
      <c r="G12" s="14" t="s">
        <v>20</v>
      </c>
    </row>
    <row r="13" spans="1:27" ht="15.75" customHeight="1" x14ac:dyDescent="0.15">
      <c r="A13" s="2" t="s">
        <v>18</v>
      </c>
      <c r="B13" s="10"/>
      <c r="C13" s="7">
        <f>'June ALT'!C13+B13</f>
        <v>0</v>
      </c>
      <c r="D13" s="7">
        <f>'Budget by Month'!H6</f>
        <v>1341.6666666666667</v>
      </c>
      <c r="E13" s="7">
        <f>D13+'June ALT'!E13</f>
        <v>9391.6666666666679</v>
      </c>
      <c r="F13" s="7">
        <f>'Budget by Month'!O6</f>
        <v>16100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19</v>
      </c>
      <c r="B14" s="6">
        <v>953</v>
      </c>
      <c r="C14" s="7">
        <f>'June ALT'!C14+B14</f>
        <v>7835</v>
      </c>
      <c r="D14" s="7">
        <f>'Budget by Month'!H12</f>
        <v>1224.3333333333333</v>
      </c>
      <c r="E14" s="7">
        <f>D14+'June ALT'!E14</f>
        <v>8570.3333333333321</v>
      </c>
      <c r="F14" s="7">
        <f>'Budget by Month'!O12</f>
        <v>14692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21</v>
      </c>
      <c r="B15" s="6"/>
      <c r="C15" s="7">
        <f>'June ALT'!C17+B15</f>
        <v>767</v>
      </c>
      <c r="D15" s="7">
        <f>'Budget by Month'!H13</f>
        <v>0</v>
      </c>
      <c r="E15" s="7">
        <f>D15+'June ALT'!E15</f>
        <v>0</v>
      </c>
      <c r="F15" s="7">
        <f>'Budget by Month'!O13</f>
        <v>0</v>
      </c>
    </row>
    <row r="16" spans="1:27" ht="15.75" customHeight="1" x14ac:dyDescent="0.15">
      <c r="A16" s="2" t="s">
        <v>22</v>
      </c>
      <c r="B16" s="6"/>
      <c r="C16" s="7">
        <f>'June ALT'!C18+B16</f>
        <v>185</v>
      </c>
      <c r="D16" s="7">
        <f>'Budget by Month'!H15</f>
        <v>0</v>
      </c>
      <c r="E16" s="7">
        <f>D16+'June ALT'!E16</f>
        <v>0</v>
      </c>
      <c r="F16" s="7">
        <f>'Budget by Month'!O15</f>
        <v>0</v>
      </c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15" t="s">
        <v>23</v>
      </c>
      <c r="B17" s="16">
        <f t="shared" ref="B17:F17" si="1">SUM(B11:B16)</f>
        <v>7123</v>
      </c>
      <c r="C17" s="16">
        <f t="shared" si="1"/>
        <v>33815.800000000003</v>
      </c>
      <c r="D17" s="16">
        <f t="shared" si="1"/>
        <v>2732.666666666667</v>
      </c>
      <c r="E17" s="16">
        <f t="shared" si="1"/>
        <v>19128.666666666664</v>
      </c>
      <c r="F17" s="16">
        <f t="shared" si="1"/>
        <v>32792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3"/>
      <c r="B18" s="17"/>
      <c r="C18" s="17"/>
      <c r="D18" s="17"/>
      <c r="E18" s="17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3" t="s">
        <v>24</v>
      </c>
      <c r="B19" s="16">
        <f t="shared" ref="B19:F19" si="2">B9+B17</f>
        <v>23251.989999999998</v>
      </c>
      <c r="C19" s="16">
        <f t="shared" si="2"/>
        <v>140658.85999999999</v>
      </c>
      <c r="D19" s="16">
        <f t="shared" si="2"/>
        <v>20990.583333333336</v>
      </c>
      <c r="E19" s="16">
        <f t="shared" si="2"/>
        <v>152764.08333333331</v>
      </c>
      <c r="F19" s="16">
        <f t="shared" si="2"/>
        <v>262381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/>
      <c r="B20" s="10"/>
      <c r="C20" s="10"/>
      <c r="D20" s="10"/>
      <c r="E20" s="10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3" t="s">
        <v>25</v>
      </c>
      <c r="B21" s="18"/>
      <c r="C21" s="7"/>
      <c r="D21" s="18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26</v>
      </c>
      <c r="B22" s="6">
        <v>2289.5</v>
      </c>
      <c r="C22" s="7">
        <f>'June ALT'!C24+B22</f>
        <v>16528.399999999998</v>
      </c>
      <c r="D22" s="7">
        <f>'Budget by Month'!H19</f>
        <v>2474.0833333333335</v>
      </c>
      <c r="E22" s="7">
        <f>D22+'June ALT'!E24</f>
        <v>17318.583333333336</v>
      </c>
      <c r="F22" s="7">
        <f>'Budget by Month'!N19</f>
        <v>29688.999999999996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27</v>
      </c>
      <c r="B23" s="6">
        <v>145</v>
      </c>
      <c r="C23" s="7">
        <f>'June ALT'!C25+B23</f>
        <v>2097.4700000000003</v>
      </c>
      <c r="D23" s="7">
        <f>'Budget by Month'!H21</f>
        <v>400</v>
      </c>
      <c r="E23" s="7">
        <f>D23+'June ALT'!E25</f>
        <v>2800</v>
      </c>
      <c r="F23" s="7">
        <f>'Budget by Month'!N21</f>
        <v>4800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28</v>
      </c>
      <c r="B24" s="6">
        <v>9848.4500000000007</v>
      </c>
      <c r="C24" s="7">
        <f>'June ALT'!C26+B24</f>
        <v>56464.56</v>
      </c>
      <c r="D24" s="7">
        <f>'Budget by Month'!H22</f>
        <v>8329.5466666666671</v>
      </c>
      <c r="E24" s="7">
        <f>D24+'June ALT'!E26</f>
        <v>62585.106666666667</v>
      </c>
      <c r="F24" s="7">
        <f>'Budget by Month'!N22</f>
        <v>108122.19000000002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29</v>
      </c>
      <c r="B25" s="6">
        <v>1011.28</v>
      </c>
      <c r="C25" s="7">
        <f>'June ALT'!C27+B25</f>
        <v>1222.2599999999998</v>
      </c>
      <c r="D25" s="7">
        <f>'Budget by Month'!H24</f>
        <v>0</v>
      </c>
      <c r="E25" s="7">
        <f>D25+'June ALT'!E27</f>
        <v>0</v>
      </c>
      <c r="F25" s="7">
        <f>'Budget by Month'!N24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30</v>
      </c>
      <c r="B26" s="6">
        <v>3806.78</v>
      </c>
      <c r="C26" s="7">
        <f>'June ALT'!C28+B26</f>
        <v>48544.840000000004</v>
      </c>
      <c r="D26" s="7">
        <f>'Budget by Month'!H25</f>
        <v>5244.833333333333</v>
      </c>
      <c r="E26" s="7">
        <f>D26+'June ALT'!E28</f>
        <v>36713.833333333328</v>
      </c>
      <c r="F26" s="7">
        <f>'Budget by Month'!N25</f>
        <v>62938.000000000007</v>
      </c>
    </row>
    <row r="27" spans="1:27" ht="15.75" customHeight="1" x14ac:dyDescent="0.15">
      <c r="A27" s="2" t="s">
        <v>32</v>
      </c>
      <c r="B27" s="6">
        <v>873.24</v>
      </c>
      <c r="C27" s="7">
        <f>'June ALT'!C29+B27</f>
        <v>19618.43</v>
      </c>
      <c r="D27" s="7">
        <f>'Budget by Month'!H26</f>
        <v>1692.6</v>
      </c>
      <c r="E27" s="7">
        <f>D27+'June ALT'!E29</f>
        <v>19660.599999999999</v>
      </c>
      <c r="F27" s="7">
        <f>'Budget by Month'!N26</f>
        <v>34323.020000000004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11" t="s">
        <v>33</v>
      </c>
      <c r="B28" s="12">
        <f t="shared" ref="B28:F28" si="3">SUM(B22:B27)</f>
        <v>17974.250000000004</v>
      </c>
      <c r="C28" s="12">
        <f t="shared" si="3"/>
        <v>144475.96</v>
      </c>
      <c r="D28" s="12">
        <f t="shared" si="3"/>
        <v>18141.063333333332</v>
      </c>
      <c r="E28" s="12">
        <f t="shared" si="3"/>
        <v>139078.12333333332</v>
      </c>
      <c r="F28" s="12">
        <f t="shared" si="3"/>
        <v>239872.21000000002</v>
      </c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34</v>
      </c>
      <c r="B30" s="6">
        <v>3774.52</v>
      </c>
      <c r="C30" s="7">
        <f>'June ALT'!C32+B30</f>
        <v>7653.58</v>
      </c>
      <c r="D30" s="7">
        <f>'Budget by Month'!H23</f>
        <v>1737.5</v>
      </c>
      <c r="E30" s="7">
        <f>D30+'June ALT'!E32</f>
        <v>12162.5</v>
      </c>
      <c r="F30" s="7">
        <f>'Budget by Month'!N23</f>
        <v>20850</v>
      </c>
      <c r="G30" s="8" t="s">
        <v>40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 t="s">
        <v>35</v>
      </c>
      <c r="B31" s="6"/>
      <c r="C31" s="7">
        <f>'June ALT'!C33+B31</f>
        <v>582</v>
      </c>
      <c r="D31" s="7">
        <f>'Budget by Month'!H20</f>
        <v>83.333333333333329</v>
      </c>
      <c r="E31" s="7">
        <f>D31+'June ALT'!E33</f>
        <v>583.33333333333326</v>
      </c>
      <c r="F31" s="7">
        <f>'Budget by Month'!N20</f>
        <v>1000.0000000000001</v>
      </c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 t="s">
        <v>36</v>
      </c>
      <c r="B32" s="20"/>
      <c r="C32" s="20">
        <f>'June ALT'!C34+B32</f>
        <v>21122</v>
      </c>
      <c r="D32" s="21">
        <f>'Budget by Month'!H27</f>
        <v>2028</v>
      </c>
      <c r="E32" s="7">
        <f>D32+'June ALT'!E34</f>
        <v>14196</v>
      </c>
      <c r="F32" s="21">
        <f>'Budget by Month'!N27</f>
        <v>24336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15" t="s">
        <v>37</v>
      </c>
      <c r="B33" s="16">
        <f t="shared" ref="B33:F33" si="4">SUM(B30:B32)</f>
        <v>3774.52</v>
      </c>
      <c r="C33" s="16">
        <f t="shared" si="4"/>
        <v>29357.58</v>
      </c>
      <c r="D33" s="16">
        <f t="shared" si="4"/>
        <v>3848.833333333333</v>
      </c>
      <c r="E33" s="16">
        <f t="shared" si="4"/>
        <v>26941.833333333336</v>
      </c>
      <c r="F33" s="16">
        <f t="shared" si="4"/>
        <v>46186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15" t="s">
        <v>38</v>
      </c>
      <c r="B35" s="22">
        <f t="shared" ref="B35:F35" si="5">B28+B33</f>
        <v>21748.770000000004</v>
      </c>
      <c r="C35" s="22">
        <f t="shared" si="5"/>
        <v>173833.53999999998</v>
      </c>
      <c r="D35" s="22">
        <f t="shared" si="5"/>
        <v>21989.896666666664</v>
      </c>
      <c r="E35" s="22">
        <f t="shared" si="5"/>
        <v>166019.95666666667</v>
      </c>
      <c r="F35" s="22">
        <f t="shared" si="5"/>
        <v>286058.21000000002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/>
      <c r="B37" s="23">
        <v>42947</v>
      </c>
      <c r="C37" s="23">
        <v>43312</v>
      </c>
      <c r="D37" s="24" t="s">
        <v>39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3" t="s">
        <v>0</v>
      </c>
      <c r="B38" s="6"/>
      <c r="C38" s="7">
        <f>B19</f>
        <v>23251.989999999998</v>
      </c>
      <c r="D38" s="7">
        <f>D19</f>
        <v>20990.583333333336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3"/>
      <c r="B39" s="10"/>
      <c r="C39" s="10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3"/>
      <c r="B40" s="10"/>
      <c r="C40" s="10"/>
      <c r="D40" s="10"/>
      <c r="E40" s="2"/>
      <c r="F40" s="2"/>
      <c r="G40" s="2"/>
      <c r="H40" s="2"/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3" t="s">
        <v>25</v>
      </c>
      <c r="B41" s="6"/>
      <c r="C41" s="7">
        <f>B35</f>
        <v>21748.770000000004</v>
      </c>
      <c r="D41" s="7">
        <f>D35</f>
        <v>21989.896666666664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8" t="s">
        <v>41</v>
      </c>
      <c r="B43" s="25" t="s">
        <v>42</v>
      </c>
      <c r="C43" s="25">
        <f>C38-C41</f>
        <v>1503.2199999999939</v>
      </c>
      <c r="D43" s="2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 t="s">
        <v>43</v>
      </c>
      <c r="B44" s="26">
        <v>10406.16</v>
      </c>
      <c r="C44" s="25"/>
      <c r="D44" s="25">
        <f>B44+B45</f>
        <v>18647.37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 t="s">
        <v>44</v>
      </c>
      <c r="B45" s="26">
        <v>8241.2099999999991</v>
      </c>
      <c r="C45" s="25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 t="s">
        <v>36</v>
      </c>
      <c r="B46" s="27"/>
      <c r="C46" s="25"/>
      <c r="D46" s="25"/>
      <c r="E46" s="2"/>
      <c r="F46" s="2"/>
      <c r="G46" s="2"/>
      <c r="H46" s="8"/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5"/>
      <c r="C47" s="25">
        <f>SUM('June ALT'!B46:B48)</f>
        <v>17138.22</v>
      </c>
      <c r="D47" s="2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5"/>
      <c r="C48" s="28"/>
      <c r="D48" s="2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5"/>
      <c r="C49" s="25"/>
      <c r="D49" s="2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5">
        <f>SUM(B44:B47)</f>
        <v>18647.37</v>
      </c>
      <c r="C50" s="25">
        <f>C47+C38-C41</f>
        <v>18641.439999999995</v>
      </c>
      <c r="D50" s="2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5"/>
      <c r="C51" s="25"/>
      <c r="D51" s="2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5"/>
      <c r="C52" s="25">
        <f>B50-C50</f>
        <v>5.930000000003929</v>
      </c>
      <c r="D52" s="2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3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3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3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3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3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3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1014"/>
  <sheetViews>
    <sheetView workbookViewId="0"/>
  </sheetViews>
  <sheetFormatPr baseColWidth="10" defaultColWidth="14.5" defaultRowHeight="15.75" customHeight="1" x14ac:dyDescent="0.15"/>
  <cols>
    <col min="1" max="1" width="27.33203125" customWidth="1"/>
  </cols>
  <sheetData>
    <row r="1" spans="1:28" ht="16" x14ac:dyDescent="0.2">
      <c r="A1" s="1">
        <v>43252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15">
      <c r="A3" s="2" t="s">
        <v>7</v>
      </c>
      <c r="B3" s="6">
        <v>10619.1</v>
      </c>
      <c r="C3" s="7">
        <f>B3+May!C9</f>
        <v>83508.48000000001</v>
      </c>
      <c r="D3" s="7">
        <f>'Budget by Month'!G10</f>
        <v>18091.25</v>
      </c>
      <c r="E3" s="7">
        <f>D3+May!E9</f>
        <v>108547.5</v>
      </c>
      <c r="F3" s="7">
        <f>'Budget by Month'!O10</f>
        <v>217095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15">
      <c r="A4" s="2" t="s">
        <v>8</v>
      </c>
      <c r="B4" s="6"/>
      <c r="C4" s="7">
        <f>B4+May!C13</f>
        <v>6255</v>
      </c>
      <c r="D4" s="7">
        <f>'Budget by Month'!G14</f>
        <v>0</v>
      </c>
      <c r="E4" s="7">
        <f>D4+May!E13</f>
        <v>5830</v>
      </c>
      <c r="F4" s="7">
        <f>'Budget by Month'!O14</f>
        <v>10494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15">
      <c r="A5" s="2" t="s">
        <v>10</v>
      </c>
      <c r="B5" s="6">
        <v>166.8</v>
      </c>
      <c r="C5" s="7">
        <f>B5+May!C7</f>
        <v>907.11999999999989</v>
      </c>
      <c r="D5" s="7">
        <f>'Budget by Month'!G8</f>
        <v>166.66666666666666</v>
      </c>
      <c r="E5" s="7">
        <f>D5+May!E7</f>
        <v>999.99999999999989</v>
      </c>
      <c r="F5" s="7">
        <f>'Budget by Month'!O8</f>
        <v>2000</v>
      </c>
    </row>
    <row r="6" spans="1:28" ht="15.75" customHeight="1" x14ac:dyDescent="0.15">
      <c r="A6" s="2" t="s">
        <v>11</v>
      </c>
      <c r="B6" s="6"/>
      <c r="C6" s="7">
        <f>B6+May!C8</f>
        <v>20.83</v>
      </c>
      <c r="D6" s="7">
        <f>'Budget by Month'!G9</f>
        <v>0</v>
      </c>
      <c r="E6" s="7">
        <f>D6+May!E8</f>
        <v>0</v>
      </c>
      <c r="F6" s="7">
        <f>'Budget by Month'!O9</f>
        <v>0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15">
      <c r="A7" s="2" t="s">
        <v>12</v>
      </c>
      <c r="B7" s="6"/>
      <c r="C7" s="7">
        <f>B7+May!C10</f>
        <v>22.64</v>
      </c>
      <c r="D7" s="7">
        <f>'Budget by Month'!G11</f>
        <v>0</v>
      </c>
      <c r="E7" s="7">
        <f>D7+May!E10</f>
        <v>0</v>
      </c>
      <c r="F7" s="7">
        <f>'Budget by Month'!O11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15">
      <c r="A8" s="2" t="s">
        <v>13</v>
      </c>
      <c r="B8" s="10"/>
      <c r="C8" s="7">
        <f>B8+May!C6</f>
        <v>0</v>
      </c>
      <c r="D8" s="7">
        <f>'Budget by Month'!G7</f>
        <v>0</v>
      </c>
      <c r="E8" s="7">
        <f>D8+May!E6</f>
        <v>0</v>
      </c>
      <c r="F8" s="7">
        <f>'Budget by Month'!O7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15">
      <c r="A9" s="11" t="s">
        <v>14</v>
      </c>
      <c r="B9" s="12">
        <f t="shared" ref="B9:F9" si="0">SUM(B3:B8)</f>
        <v>10785.9</v>
      </c>
      <c r="C9" s="12">
        <f t="shared" si="0"/>
        <v>90714.07</v>
      </c>
      <c r="D9" s="12">
        <f t="shared" si="0"/>
        <v>18257.916666666668</v>
      </c>
      <c r="E9" s="12">
        <f t="shared" si="0"/>
        <v>115377.5</v>
      </c>
      <c r="F9" s="12">
        <f t="shared" si="0"/>
        <v>229589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15">
      <c r="A11" s="2" t="s">
        <v>15</v>
      </c>
      <c r="B11" s="6">
        <v>20</v>
      </c>
      <c r="C11" s="7">
        <f>B11+May!C3</f>
        <v>352</v>
      </c>
      <c r="D11" s="7">
        <f>'Budget by Month'!G4</f>
        <v>83.333333333333329</v>
      </c>
      <c r="E11" s="7">
        <f>D11+May!E3</f>
        <v>499.99999999999994</v>
      </c>
      <c r="F11" s="7">
        <f>'Budget by Month'!O4</f>
        <v>1000</v>
      </c>
    </row>
    <row r="12" spans="1:28" ht="15.75" customHeight="1" x14ac:dyDescent="0.15">
      <c r="A12" s="2" t="s">
        <v>17</v>
      </c>
      <c r="B12" s="6">
        <v>7624.52</v>
      </c>
      <c r="C12" s="7">
        <f>B12+May!C4</f>
        <v>18506.8</v>
      </c>
      <c r="D12" s="7">
        <f>'Budget by Month'!G5</f>
        <v>83.333333333333329</v>
      </c>
      <c r="E12" s="7">
        <f>D12+May!E4</f>
        <v>499.99999999999994</v>
      </c>
      <c r="F12" s="7">
        <f>'Budget by Month'!O5</f>
        <v>1000</v>
      </c>
    </row>
    <row r="13" spans="1:28" ht="15.75" customHeight="1" x14ac:dyDescent="0.15">
      <c r="A13" s="2" t="s">
        <v>18</v>
      </c>
      <c r="B13" s="10"/>
      <c r="C13" s="7">
        <f>B13+May!C5</f>
        <v>0</v>
      </c>
      <c r="D13" s="7">
        <f>'Budget by Month'!G6</f>
        <v>1341.6666666666667</v>
      </c>
      <c r="E13" s="7">
        <f>D13+May!E5</f>
        <v>8050.0000000000009</v>
      </c>
      <c r="F13" s="7">
        <f>'Budget by Month'!O6</f>
        <v>16100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15">
      <c r="A14" s="2" t="s">
        <v>19</v>
      </c>
      <c r="B14" s="6">
        <v>1400</v>
      </c>
      <c r="C14" s="7">
        <f>B14+May!C11</f>
        <v>6882</v>
      </c>
      <c r="D14" s="7">
        <f>'Budget by Month'!G12</f>
        <v>1224.3333333333333</v>
      </c>
      <c r="E14" s="7">
        <f>D14+May!E11</f>
        <v>7345.9999999999991</v>
      </c>
      <c r="F14" s="7">
        <f>'Budget by Month'!O12</f>
        <v>14692</v>
      </c>
      <c r="G14" s="9"/>
      <c r="H14" s="2"/>
      <c r="I14" s="10">
        <f>B14</f>
        <v>1400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15">
      <c r="A15" s="2"/>
      <c r="B15" s="6"/>
      <c r="C15" s="7"/>
      <c r="D15" s="7"/>
      <c r="E15" s="7"/>
      <c r="F15" s="7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15">
      <c r="A16" s="2"/>
      <c r="B16" s="6"/>
      <c r="C16" s="7"/>
      <c r="D16" s="7"/>
      <c r="E16" s="7"/>
      <c r="F16" s="7"/>
      <c r="G16" s="1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15">
      <c r="A17" s="2" t="s">
        <v>21</v>
      </c>
      <c r="B17" s="6"/>
      <c r="C17" s="7">
        <f>B17+May!C12</f>
        <v>767</v>
      </c>
      <c r="D17" s="7">
        <f>'Budget by Month'!G13</f>
        <v>0</v>
      </c>
      <c r="E17" s="7">
        <f>D17+May!E12</f>
        <v>0</v>
      </c>
      <c r="F17" s="7">
        <f>'Budget by Month'!O13</f>
        <v>0</v>
      </c>
    </row>
    <row r="18" spans="1:28" ht="15.75" customHeight="1" x14ac:dyDescent="0.15">
      <c r="A18" s="2" t="s">
        <v>22</v>
      </c>
      <c r="B18" s="6"/>
      <c r="C18" s="7">
        <f>B18+May!C14</f>
        <v>185</v>
      </c>
      <c r="D18" s="7">
        <f>'Budget by Month'!G15</f>
        <v>0</v>
      </c>
      <c r="E18" s="7">
        <f>D18+May!E14</f>
        <v>0</v>
      </c>
      <c r="F18" s="7">
        <f>'Budget by Month'!O15</f>
        <v>0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15">
      <c r="A19" s="15" t="s">
        <v>23</v>
      </c>
      <c r="B19" s="16">
        <f t="shared" ref="B19:F19" si="1">SUM(B11:B18)</f>
        <v>9044.52</v>
      </c>
      <c r="C19" s="16">
        <f t="shared" si="1"/>
        <v>26692.799999999999</v>
      </c>
      <c r="D19" s="16">
        <f t="shared" si="1"/>
        <v>2732.666666666667</v>
      </c>
      <c r="E19" s="16">
        <f t="shared" si="1"/>
        <v>16396</v>
      </c>
      <c r="F19" s="16">
        <f t="shared" si="1"/>
        <v>32792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15">
      <c r="A20" s="3"/>
      <c r="B20" s="17"/>
      <c r="C20" s="17"/>
      <c r="D20" s="17"/>
      <c r="E20" s="17"/>
      <c r="F20" s="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15">
      <c r="A21" s="3" t="s">
        <v>24</v>
      </c>
      <c r="B21" s="16">
        <f t="shared" ref="B21:F21" si="2">B9+B19</f>
        <v>19830.419999999998</v>
      </c>
      <c r="C21" s="16">
        <f t="shared" si="2"/>
        <v>117406.87000000001</v>
      </c>
      <c r="D21" s="16">
        <f t="shared" si="2"/>
        <v>20990.583333333336</v>
      </c>
      <c r="E21" s="16">
        <f t="shared" si="2"/>
        <v>131773.5</v>
      </c>
      <c r="F21" s="16">
        <f t="shared" si="2"/>
        <v>262381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15">
      <c r="A22" s="2"/>
      <c r="B22" s="10"/>
      <c r="C22" s="10"/>
      <c r="D22" s="10"/>
      <c r="E22" s="10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15">
      <c r="A23" s="3" t="s">
        <v>25</v>
      </c>
      <c r="B23" s="18"/>
      <c r="C23" s="18"/>
      <c r="D23" s="18"/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15">
      <c r="A24" s="2" t="s">
        <v>26</v>
      </c>
      <c r="B24" s="6">
        <v>2332.41</v>
      </c>
      <c r="C24" s="7">
        <f>B24+May!C18</f>
        <v>14238.899999999998</v>
      </c>
      <c r="D24" s="7">
        <f>'Budget by Month'!G19</f>
        <v>2474.0833333333335</v>
      </c>
      <c r="E24" s="7">
        <f>D24+May!E18</f>
        <v>14844.500000000002</v>
      </c>
      <c r="F24" s="7">
        <f>'Budget by Month'!N19</f>
        <v>29688.999999999996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15">
      <c r="A25" s="2" t="s">
        <v>27</v>
      </c>
      <c r="B25" s="6">
        <v>213.29</v>
      </c>
      <c r="C25" s="7">
        <f>B25+May!C20</f>
        <v>1952.4700000000003</v>
      </c>
      <c r="D25" s="7">
        <f>'Budget by Month'!G21</f>
        <v>400</v>
      </c>
      <c r="E25" s="7">
        <f>D25+May!E20</f>
        <v>2400</v>
      </c>
      <c r="F25" s="7">
        <f>'Budget by Month'!N21</f>
        <v>4800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15">
      <c r="A26" s="2" t="s">
        <v>28</v>
      </c>
      <c r="B26" s="6">
        <v>7014.57</v>
      </c>
      <c r="C26" s="7">
        <f>B26+May!C21</f>
        <v>46616.11</v>
      </c>
      <c r="D26" s="7">
        <f>'Budget by Month'!G22</f>
        <v>8718.4766666666674</v>
      </c>
      <c r="E26" s="7">
        <f>D26+May!E21</f>
        <v>54255.56</v>
      </c>
      <c r="F26" s="7">
        <f>'Budget by Month'!N22</f>
        <v>108122.19000000002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15">
      <c r="A27" s="2" t="s">
        <v>29</v>
      </c>
      <c r="B27" s="6">
        <v>624.41999999999996</v>
      </c>
      <c r="C27" s="7">
        <f>B27+May!C23</f>
        <v>210.9799999999999</v>
      </c>
      <c r="D27" s="7">
        <f>'Budget by Month'!G24</f>
        <v>0</v>
      </c>
      <c r="E27" s="7">
        <f>D27+May!E23</f>
        <v>0</v>
      </c>
      <c r="F27" s="7">
        <f>'Budget by Month'!N24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15">
      <c r="A28" s="2" t="s">
        <v>30</v>
      </c>
      <c r="B28" s="6">
        <v>4153.1899999999996</v>
      </c>
      <c r="C28" s="7">
        <f>B28+May!C24</f>
        <v>44738.060000000005</v>
      </c>
      <c r="D28" s="7">
        <f>'Budget by Month'!G25</f>
        <v>5244.833333333333</v>
      </c>
      <c r="E28" s="7">
        <f>D28+May!E24</f>
        <v>31468.999999999996</v>
      </c>
      <c r="F28" s="7">
        <f>'Budget by Month'!N25</f>
        <v>62938.000000000007</v>
      </c>
    </row>
    <row r="29" spans="1:28" ht="15.75" customHeight="1" x14ac:dyDescent="0.15">
      <c r="A29" s="2" t="s">
        <v>32</v>
      </c>
      <c r="B29" s="6">
        <v>858.94</v>
      </c>
      <c r="C29" s="7">
        <f>B29+May!C25</f>
        <v>18745.189999999999</v>
      </c>
      <c r="D29" s="7">
        <f>'Budget by Month'!G26</f>
        <v>1692.6</v>
      </c>
      <c r="E29" s="7">
        <f>D29+May!E25</f>
        <v>17968</v>
      </c>
      <c r="F29" s="7">
        <f>'Budget by Month'!N26</f>
        <v>34323.020000000004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15">
      <c r="A30" s="11" t="s">
        <v>33</v>
      </c>
      <c r="B30" s="12">
        <f t="shared" ref="B30:F30" si="3">SUM(B24:B29)</f>
        <v>15196.820000000002</v>
      </c>
      <c r="C30" s="12">
        <f t="shared" si="3"/>
        <v>126501.71</v>
      </c>
      <c r="D30" s="12">
        <f t="shared" si="3"/>
        <v>18529.993333333332</v>
      </c>
      <c r="E30" s="12">
        <f t="shared" si="3"/>
        <v>120937.06</v>
      </c>
      <c r="F30" s="12">
        <f t="shared" si="3"/>
        <v>239872.21000000002</v>
      </c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15"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15">
      <c r="A32" s="2" t="s">
        <v>34</v>
      </c>
      <c r="B32" s="6">
        <f>113.06</f>
        <v>113.06</v>
      </c>
      <c r="C32" s="7">
        <f>B32+May!C22</f>
        <v>3879.06</v>
      </c>
      <c r="D32" s="7">
        <f>'Budget by Month'!G23</f>
        <v>1737.5</v>
      </c>
      <c r="E32" s="7">
        <f>D32+May!E22</f>
        <v>10425</v>
      </c>
      <c r="F32" s="7">
        <f>'Budget by Month'!N23</f>
        <v>20850</v>
      </c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15">
      <c r="A33" s="2" t="s">
        <v>35</v>
      </c>
      <c r="B33" s="6">
        <v>582</v>
      </c>
      <c r="C33" s="7">
        <f>B33+May!C19</f>
        <v>582</v>
      </c>
      <c r="D33" s="7">
        <f>'Budget by Month'!G20</f>
        <v>83.333333333333329</v>
      </c>
      <c r="E33" s="7">
        <f>D33+May!E19</f>
        <v>499.99999999999994</v>
      </c>
      <c r="F33" s="7">
        <f>'Budget by Month'!N20</f>
        <v>1000.0000000000001</v>
      </c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15">
      <c r="A34" s="2" t="s">
        <v>36</v>
      </c>
      <c r="B34" s="20">
        <v>6427</v>
      </c>
      <c r="C34" s="21">
        <f>B34+May!C26</f>
        <v>21122</v>
      </c>
      <c r="D34" s="21">
        <f>'Budget by Month'!G27</f>
        <v>2028</v>
      </c>
      <c r="E34" s="21">
        <f>D34+May!E26</f>
        <v>12168</v>
      </c>
      <c r="F34" s="21">
        <f>'Budget by Month'!N27</f>
        <v>24336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15">
      <c r="A35" s="15" t="s">
        <v>37</v>
      </c>
      <c r="B35" s="16">
        <f t="shared" ref="B35:F35" si="4">SUM(B32:B34)</f>
        <v>7122.0599999999995</v>
      </c>
      <c r="C35" s="16">
        <f t="shared" si="4"/>
        <v>25583.059999999998</v>
      </c>
      <c r="D35" s="16">
        <f t="shared" si="4"/>
        <v>3848.833333333333</v>
      </c>
      <c r="E35" s="16">
        <f t="shared" si="4"/>
        <v>23093</v>
      </c>
      <c r="F35" s="16">
        <f t="shared" si="4"/>
        <v>46186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15">
      <c r="A37" s="15" t="s">
        <v>38</v>
      </c>
      <c r="B37" s="22">
        <f t="shared" ref="B37:F37" si="5">B30+B35</f>
        <v>22318.880000000001</v>
      </c>
      <c r="C37" s="22">
        <f t="shared" si="5"/>
        <v>152084.77000000002</v>
      </c>
      <c r="D37" s="22">
        <f t="shared" si="5"/>
        <v>22378.826666666664</v>
      </c>
      <c r="E37" s="22">
        <f t="shared" si="5"/>
        <v>144030.06</v>
      </c>
      <c r="F37" s="22">
        <f t="shared" si="5"/>
        <v>286058.21000000002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15">
      <c r="A39" s="2"/>
      <c r="B39" s="23">
        <v>42916</v>
      </c>
      <c r="C39" s="23">
        <v>43281</v>
      </c>
      <c r="D39" s="24" t="s">
        <v>39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15">
      <c r="A40" s="3" t="s">
        <v>0</v>
      </c>
      <c r="B40" s="6"/>
      <c r="C40" s="7">
        <f>B21</f>
        <v>19830.419999999998</v>
      </c>
      <c r="D40" s="7">
        <f>D21</f>
        <v>20990.583333333336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15">
      <c r="A41" s="3"/>
      <c r="B41" s="10"/>
      <c r="C41" s="10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15">
      <c r="A42" s="3"/>
      <c r="B42" s="10"/>
      <c r="C42" s="10"/>
      <c r="D42" s="10"/>
      <c r="E42" s="2"/>
      <c r="F42" s="2"/>
      <c r="G42" s="2"/>
      <c r="H42" s="2"/>
      <c r="I42" s="8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15">
      <c r="A43" s="3" t="s">
        <v>25</v>
      </c>
      <c r="B43" s="6"/>
      <c r="C43" s="7">
        <f>B37</f>
        <v>22318.880000000001</v>
      </c>
      <c r="D43" s="7">
        <f>D37</f>
        <v>22378.826666666664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15">
      <c r="A45" s="8" t="s">
        <v>41</v>
      </c>
      <c r="B45" s="25" t="s">
        <v>42</v>
      </c>
      <c r="C45" s="25">
        <f>C40-C43</f>
        <v>-2488.4600000000028</v>
      </c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15">
      <c r="A46" s="2" t="s">
        <v>43</v>
      </c>
      <c r="B46" s="26">
        <v>8905.26</v>
      </c>
      <c r="C46" s="25"/>
      <c r="D46" s="25">
        <f>B46+B47</f>
        <v>17138.22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15">
      <c r="A47" s="2" t="s">
        <v>44</v>
      </c>
      <c r="B47" s="26">
        <v>8232.9599999999991</v>
      </c>
      <c r="C47" s="25"/>
      <c r="D47" s="2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15">
      <c r="A48" s="2" t="s">
        <v>36</v>
      </c>
      <c r="B48" s="27"/>
      <c r="C48" s="25"/>
      <c r="D48" s="25"/>
      <c r="E48" s="2"/>
      <c r="F48" s="2"/>
      <c r="G48" s="2"/>
      <c r="H48" s="8"/>
      <c r="I48" s="8"/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" x14ac:dyDescent="0.15">
      <c r="A49" s="2"/>
      <c r="B49" s="25"/>
      <c r="C49" s="25">
        <f>SUM(May!B35:B37)</f>
        <v>19632.61</v>
      </c>
      <c r="D49" s="2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" x14ac:dyDescent="0.15">
      <c r="A50" s="2"/>
      <c r="B50" s="25"/>
      <c r="C50" s="28"/>
      <c r="D50" s="2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" x14ac:dyDescent="0.15">
      <c r="A51" s="2"/>
      <c r="B51" s="25"/>
      <c r="C51" s="25"/>
      <c r="D51" s="2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" x14ac:dyDescent="0.15">
      <c r="A52" s="2"/>
      <c r="B52" s="25">
        <f>SUM(B46:B49)</f>
        <v>17138.22</v>
      </c>
      <c r="C52" s="25">
        <f>C49+C40-C43</f>
        <v>17144.149999999998</v>
      </c>
      <c r="D52" s="2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" x14ac:dyDescent="0.15">
      <c r="A53" s="2"/>
      <c r="B53" s="25"/>
      <c r="C53" s="25"/>
      <c r="D53" s="2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" x14ac:dyDescent="0.15">
      <c r="A54" s="2"/>
      <c r="B54" s="25"/>
      <c r="C54" s="25">
        <f>B52-C52</f>
        <v>-5.9299999999966531</v>
      </c>
      <c r="D54" s="2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ht="13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ht="13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ht="13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ht="13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 ht="13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 ht="13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 ht="13" x14ac:dyDescent="0.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1:28" ht="13" x14ac:dyDescent="0.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15</v>
      </c>
      <c r="B3" s="6">
        <v>20</v>
      </c>
      <c r="C3" s="7">
        <f>B3+May!C3</f>
        <v>352</v>
      </c>
      <c r="D3" s="7">
        <f>'Budget by Month'!G4</f>
        <v>83.333333333333329</v>
      </c>
      <c r="E3" s="7">
        <f>D3+May!E3</f>
        <v>499.99999999999994</v>
      </c>
      <c r="F3" s="7">
        <f>'Budget by Month'!O4</f>
        <v>1000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17</v>
      </c>
      <c r="B4" s="6">
        <v>7624.52</v>
      </c>
      <c r="C4" s="7">
        <f>B4+May!C4</f>
        <v>18506.8</v>
      </c>
      <c r="D4" s="7">
        <f>'Budget by Month'!G5</f>
        <v>83.333333333333329</v>
      </c>
      <c r="E4" s="7">
        <f>D4+May!E4</f>
        <v>499.99999999999994</v>
      </c>
      <c r="F4" s="7">
        <f>'Budget by Month'!O5</f>
        <v>1000</v>
      </c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18</v>
      </c>
      <c r="B5" s="10"/>
      <c r="C5" s="7">
        <f>B5+May!C5</f>
        <v>0</v>
      </c>
      <c r="D5" s="7">
        <f>'Budget by Month'!G6</f>
        <v>1341.6666666666667</v>
      </c>
      <c r="E5" s="7">
        <f>D5+May!E5</f>
        <v>8050.0000000000009</v>
      </c>
      <c r="F5" s="7">
        <f>'Budget by Month'!O6</f>
        <v>16100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13</v>
      </c>
      <c r="B6" s="10"/>
      <c r="C6" s="7">
        <f>B6+May!C6</f>
        <v>0</v>
      </c>
      <c r="D6" s="7">
        <f>'Budget by Month'!G7</f>
        <v>0</v>
      </c>
      <c r="E6" s="7">
        <f>D6+May!E6</f>
        <v>0</v>
      </c>
      <c r="F6" s="7">
        <f>'Budget by Month'!O7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10</v>
      </c>
      <c r="B7" s="6">
        <v>166.8</v>
      </c>
      <c r="C7" s="7">
        <f>B7+May!C7</f>
        <v>907.11999999999989</v>
      </c>
      <c r="D7" s="7">
        <f>'Budget by Month'!G8</f>
        <v>166.66666666666666</v>
      </c>
      <c r="E7" s="7">
        <f>D7+May!E7</f>
        <v>999.99999999999989</v>
      </c>
      <c r="F7" s="7">
        <f>'Budget by Month'!O8</f>
        <v>2000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/>
      <c r="C8" s="7">
        <f>B8+May!C8</f>
        <v>20.83</v>
      </c>
      <c r="D8" s="7">
        <f>'Budget by Month'!G9</f>
        <v>0</v>
      </c>
      <c r="E8" s="7">
        <f>D8+May!E8</f>
        <v>0</v>
      </c>
      <c r="F8" s="7">
        <f>'Budget by Month'!O9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10619.1</v>
      </c>
      <c r="C9" s="7">
        <f>B9+May!C9</f>
        <v>83508.48000000001</v>
      </c>
      <c r="D9" s="7">
        <f>'Budget by Month'!G10</f>
        <v>18091.25</v>
      </c>
      <c r="E9" s="7">
        <f>D9+May!E9</f>
        <v>108547.5</v>
      </c>
      <c r="F9" s="7">
        <f>'Budget by Month'!O10</f>
        <v>217095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12</v>
      </c>
      <c r="B10" s="6"/>
      <c r="C10" s="7">
        <f>B10+May!C10</f>
        <v>22.64</v>
      </c>
      <c r="D10" s="7">
        <f>'Budget by Month'!G11</f>
        <v>0</v>
      </c>
      <c r="E10" s="7">
        <f>D10+May!E10</f>
        <v>0</v>
      </c>
      <c r="F10" s="7">
        <f>'Budget by Month'!O11</f>
        <v>0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19</v>
      </c>
      <c r="B11" s="6">
        <v>1400</v>
      </c>
      <c r="C11" s="7">
        <f>B11+May!C11</f>
        <v>6882</v>
      </c>
      <c r="D11" s="7">
        <f>'Budget by Month'!G12</f>
        <v>1224.3333333333333</v>
      </c>
      <c r="E11" s="7">
        <f>D11+May!E11</f>
        <v>7345.9999999999991</v>
      </c>
      <c r="F11" s="7">
        <f>'Budget by Month'!O12</f>
        <v>14692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21</v>
      </c>
      <c r="B12" s="6"/>
      <c r="C12" s="7">
        <f>B12+May!C12</f>
        <v>767</v>
      </c>
      <c r="D12" s="7">
        <f>'Budget by Month'!G13</f>
        <v>0</v>
      </c>
      <c r="E12" s="7">
        <f>D12+May!E12</f>
        <v>0</v>
      </c>
      <c r="F12" s="7">
        <f>'Budget by Month'!O13</f>
        <v>0</v>
      </c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/>
      <c r="C13" s="7">
        <f>B13+May!C13</f>
        <v>6255</v>
      </c>
      <c r="D13" s="7">
        <f>'Budget by Month'!G14</f>
        <v>0</v>
      </c>
      <c r="E13" s="7">
        <f>D13+May!E13</f>
        <v>5830</v>
      </c>
      <c r="F13" s="7">
        <f>'Budget by Month'!O14</f>
        <v>10494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22</v>
      </c>
      <c r="B14" s="6"/>
      <c r="C14" s="7">
        <f>B14+May!C14</f>
        <v>185</v>
      </c>
      <c r="D14" s="7">
        <f>'Budget by Month'!G15</f>
        <v>0</v>
      </c>
      <c r="E14" s="7">
        <f>D14+May!E14</f>
        <v>0</v>
      </c>
      <c r="F14" s="7">
        <f>'Budget by Month'!O15</f>
        <v>0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24</v>
      </c>
      <c r="B15" s="16">
        <f t="shared" ref="B15:F15" si="0">SUM(B3:B14)</f>
        <v>19830.420000000002</v>
      </c>
      <c r="C15" s="16">
        <f t="shared" si="0"/>
        <v>117406.87000000001</v>
      </c>
      <c r="D15" s="16">
        <f t="shared" si="0"/>
        <v>20990.583333333332</v>
      </c>
      <c r="E15" s="16">
        <f t="shared" si="0"/>
        <v>131773.5</v>
      </c>
      <c r="F15" s="16">
        <f t="shared" si="0"/>
        <v>262381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3" t="s">
        <v>25</v>
      </c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26</v>
      </c>
      <c r="B18" s="6">
        <v>2332.41</v>
      </c>
      <c r="C18" s="7">
        <f>B18+May!C18</f>
        <v>14238.899999999998</v>
      </c>
      <c r="D18" s="7">
        <f>'Budget by Month'!G19</f>
        <v>2474.0833333333335</v>
      </c>
      <c r="E18" s="7">
        <f>D18+May!E18</f>
        <v>14844.500000000002</v>
      </c>
      <c r="F18" s="7">
        <f>'Budget by Month'!N19</f>
        <v>29688.999999999996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35</v>
      </c>
      <c r="B19" s="6">
        <v>582</v>
      </c>
      <c r="C19" s="7">
        <f>B19+May!C19</f>
        <v>582</v>
      </c>
      <c r="D19" s="7">
        <f>'Budget by Month'!G20</f>
        <v>83.333333333333329</v>
      </c>
      <c r="E19" s="7">
        <f>D19+May!E19</f>
        <v>499.99999999999994</v>
      </c>
      <c r="F19" s="7">
        <f>'Budget by Month'!N20</f>
        <v>1000.0000000000001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27</v>
      </c>
      <c r="B20" s="6">
        <v>213.29</v>
      </c>
      <c r="C20" s="7">
        <f>B20+May!C20</f>
        <v>1952.4700000000003</v>
      </c>
      <c r="D20" s="7">
        <f>'Budget by Month'!G21</f>
        <v>400</v>
      </c>
      <c r="E20" s="7">
        <f>D20+May!E20</f>
        <v>2400</v>
      </c>
      <c r="F20" s="7">
        <f>'Budget by Month'!N21</f>
        <v>4800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28</v>
      </c>
      <c r="B21" s="6">
        <v>7014.57</v>
      </c>
      <c r="C21" s="7">
        <f>B21+May!C21</f>
        <v>46616.11</v>
      </c>
      <c r="D21" s="7">
        <f>'Budget by Month'!G22</f>
        <v>8718.4766666666674</v>
      </c>
      <c r="E21" s="7">
        <f>D21+May!E21</f>
        <v>54255.56</v>
      </c>
      <c r="F21" s="7">
        <f>'Budget by Month'!N22</f>
        <v>108122.19000000002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34</v>
      </c>
      <c r="B22" s="6">
        <f>113.06</f>
        <v>113.06</v>
      </c>
      <c r="C22" s="7">
        <f>B22+May!C22</f>
        <v>3879.06</v>
      </c>
      <c r="D22" s="7">
        <f>'Budget by Month'!G23</f>
        <v>1737.5</v>
      </c>
      <c r="E22" s="7">
        <f>D22+May!E22</f>
        <v>10425</v>
      </c>
      <c r="F22" s="7">
        <f>'Budget by Month'!N23</f>
        <v>20850</v>
      </c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624.41999999999996</v>
      </c>
      <c r="C23" s="7">
        <f>B23+May!C23</f>
        <v>210.9799999999999</v>
      </c>
      <c r="D23" s="7">
        <f>'Budget by Month'!G24</f>
        <v>0</v>
      </c>
      <c r="E23" s="7">
        <f>D23+May!E23</f>
        <v>0</v>
      </c>
      <c r="F23" s="7">
        <f>'Budget by Month'!N24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4153.1899999999996</v>
      </c>
      <c r="C24" s="7">
        <f>B24+May!C24</f>
        <v>44738.060000000005</v>
      </c>
      <c r="D24" s="7">
        <f>'Budget by Month'!G25</f>
        <v>5244.833333333333</v>
      </c>
      <c r="E24" s="7">
        <f>D24+May!E24</f>
        <v>31468.999999999996</v>
      </c>
      <c r="F24" s="7">
        <f>'Budget by Month'!N25</f>
        <v>62938.000000000007</v>
      </c>
      <c r="G24" s="8" t="s">
        <v>48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32</v>
      </c>
      <c r="B25" s="6">
        <v>858.94</v>
      </c>
      <c r="C25" s="7">
        <f>B25+May!C25</f>
        <v>18745.189999999999</v>
      </c>
      <c r="D25" s="7">
        <f>'Budget by Month'!G26</f>
        <v>1692.6</v>
      </c>
      <c r="E25" s="7">
        <f>D25+May!E25</f>
        <v>17968</v>
      </c>
      <c r="F25" s="7">
        <f>'Budget by Month'!N26</f>
        <v>34323.020000000004</v>
      </c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36</v>
      </c>
      <c r="B26" s="6">
        <v>6427</v>
      </c>
      <c r="C26" s="7">
        <f>B26+May!C26</f>
        <v>21122</v>
      </c>
      <c r="D26" s="7">
        <f>'Budget by Month'!G27</f>
        <v>2028</v>
      </c>
      <c r="E26" s="7">
        <f>D26+May!E26</f>
        <v>12168</v>
      </c>
      <c r="F26" s="7">
        <f>'Budget by Month'!N27</f>
        <v>24336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38</v>
      </c>
      <c r="B27" s="16">
        <f t="shared" ref="B27:D27" si="1">SUM(B18:B26)</f>
        <v>22318.879999999997</v>
      </c>
      <c r="C27" s="16">
        <f t="shared" si="1"/>
        <v>152084.76999999999</v>
      </c>
      <c r="D27" s="16">
        <f t="shared" si="1"/>
        <v>22378.826666666664</v>
      </c>
      <c r="E27" s="16"/>
      <c r="F27" s="16">
        <f>SUM(F18:F26)</f>
        <v>286058.21000000002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3">
        <v>42916</v>
      </c>
      <c r="C29" s="23">
        <v>43281</v>
      </c>
      <c r="D29" s="24" t="s">
        <v>39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/>
      <c r="C30" s="7">
        <f>B15</f>
        <v>19830.420000000002</v>
      </c>
      <c r="D30" s="7">
        <f>D15</f>
        <v>20990.583333333332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25</v>
      </c>
      <c r="B33" s="6"/>
      <c r="C33" s="7">
        <f>B27</f>
        <v>22318.879999999997</v>
      </c>
      <c r="D33" s="7">
        <f>D27</f>
        <v>22378.826666666664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42</v>
      </c>
      <c r="C34" s="10">
        <f>C30-C33</f>
        <v>-2488.4599999999955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43</v>
      </c>
      <c r="B35" s="29">
        <v>8905.26</v>
      </c>
      <c r="C35" s="2"/>
      <c r="D35" s="30">
        <f>B35+B36</f>
        <v>17138.22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44</v>
      </c>
      <c r="B36" s="29">
        <v>8232.9599999999991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36</v>
      </c>
      <c r="B37" s="31"/>
      <c r="C37" s="2"/>
      <c r="D37" s="2"/>
      <c r="E37" s="2"/>
      <c r="F37" s="2"/>
      <c r="G37" s="2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30">
        <f>SUM(May!B35:B37)</f>
        <v>19632.61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30">
        <f>SUM(B35:B38)</f>
        <v>17138.22</v>
      </c>
      <c r="C41" s="30">
        <f>C38+C30-C33</f>
        <v>17144.150000000001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30">
        <f>B41-C41</f>
        <v>-5.930000000000291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15</v>
      </c>
      <c r="B3" s="6">
        <v>10</v>
      </c>
      <c r="C3" s="7">
        <f>B3+Apr!C3</f>
        <v>332</v>
      </c>
      <c r="D3" s="7">
        <f>'Budget by Month'!F4</f>
        <v>83.333333333333329</v>
      </c>
      <c r="E3" s="7">
        <f>D3+Apr!E3</f>
        <v>416.66666666666663</v>
      </c>
      <c r="F3" s="7">
        <f>'Budget by Month'!O4</f>
        <v>1000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17</v>
      </c>
      <c r="B4" s="6">
        <v>2051</v>
      </c>
      <c r="C4" s="7">
        <f>B4+Apr!C4</f>
        <v>10882.279999999999</v>
      </c>
      <c r="D4" s="7">
        <f>'Budget by Month'!F5</f>
        <v>83.333333333333329</v>
      </c>
      <c r="E4" s="7">
        <f>D4+Apr!E4</f>
        <v>416.66666666666663</v>
      </c>
      <c r="F4" s="7">
        <f>'Budget by Month'!O5</f>
        <v>1000</v>
      </c>
      <c r="G4" s="8" t="s">
        <v>49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18</v>
      </c>
      <c r="B5" s="10"/>
      <c r="C5" s="7">
        <f>B5+Apr!C5</f>
        <v>0</v>
      </c>
      <c r="D5" s="7">
        <f>'Budget by Month'!F6</f>
        <v>1341.6666666666667</v>
      </c>
      <c r="E5" s="7">
        <f>D5+Apr!E5</f>
        <v>6708.3333333333339</v>
      </c>
      <c r="F5" s="7">
        <f>'Budget by Month'!O6</f>
        <v>16100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13</v>
      </c>
      <c r="B6" s="10"/>
      <c r="C6" s="7">
        <f>B6+Apr!C6</f>
        <v>0</v>
      </c>
      <c r="D6" s="7">
        <f>'Budget by Month'!F7</f>
        <v>0</v>
      </c>
      <c r="E6" s="7">
        <f>D6+Apr!E6</f>
        <v>0</v>
      </c>
      <c r="F6" s="7">
        <f>'Budget by Month'!O7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10</v>
      </c>
      <c r="B7" s="6">
        <v>121</v>
      </c>
      <c r="C7" s="7">
        <f>B7+Apr!C7</f>
        <v>740.31999999999994</v>
      </c>
      <c r="D7" s="7">
        <f>'Budget by Month'!F8</f>
        <v>166.66666666666666</v>
      </c>
      <c r="E7" s="7">
        <f>D7+Apr!E7</f>
        <v>833.33333333333326</v>
      </c>
      <c r="F7" s="7">
        <f>'Budget by Month'!O8</f>
        <v>2000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>
        <v>4.01</v>
      </c>
      <c r="C8" s="7">
        <f>B8+Apr!C8</f>
        <v>20.83</v>
      </c>
      <c r="D8" s="7">
        <f>'Budget by Month'!F9</f>
        <v>0</v>
      </c>
      <c r="E8" s="7">
        <f>D8+Apr!E8</f>
        <v>0</v>
      </c>
      <c r="F8" s="7">
        <f>'Budget by Month'!O9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15989.86</v>
      </c>
      <c r="C9" s="7">
        <f>B9+Apr!C9</f>
        <v>72889.38</v>
      </c>
      <c r="D9" s="7">
        <f>'Budget by Month'!F10</f>
        <v>18091.25</v>
      </c>
      <c r="E9" s="7">
        <f>D9+Apr!E9</f>
        <v>90456.25</v>
      </c>
      <c r="F9" s="7">
        <f>'Budget by Month'!O10</f>
        <v>217095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12</v>
      </c>
      <c r="B10" s="6">
        <v>-40</v>
      </c>
      <c r="C10" s="7">
        <f>B10+Apr!C10</f>
        <v>22.64</v>
      </c>
      <c r="D10" s="7">
        <f>'Budget by Month'!F11</f>
        <v>0</v>
      </c>
      <c r="E10" s="7">
        <f>D10+Apr!E10</f>
        <v>0</v>
      </c>
      <c r="F10" s="7">
        <f>'Budget by Month'!O11</f>
        <v>0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19</v>
      </c>
      <c r="B11" s="6">
        <v>1135</v>
      </c>
      <c r="C11" s="7">
        <f>B11+Apr!C11</f>
        <v>5482</v>
      </c>
      <c r="D11" s="7">
        <f>'Budget by Month'!F12</f>
        <v>1224.3333333333333</v>
      </c>
      <c r="E11" s="7">
        <f>D11+Apr!E11</f>
        <v>6121.6666666666661</v>
      </c>
      <c r="F11" s="7">
        <f>'Budget by Month'!O12</f>
        <v>14692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21</v>
      </c>
      <c r="B12" s="6"/>
      <c r="C12" s="7">
        <f>B12+Apr!C12</f>
        <v>767</v>
      </c>
      <c r="D12" s="7">
        <f>'Budget by Month'!F13</f>
        <v>0</v>
      </c>
      <c r="E12" s="7">
        <f>D12+Apr!E12</f>
        <v>0</v>
      </c>
      <c r="F12" s="7">
        <f>'Budget by Month'!O13</f>
        <v>0</v>
      </c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>
        <v>1166</v>
      </c>
      <c r="C13" s="7">
        <f>B13+Apr!C13</f>
        <v>6255</v>
      </c>
      <c r="D13" s="7">
        <f>'Budget by Month'!F14</f>
        <v>1166</v>
      </c>
      <c r="E13" s="7">
        <f>D13+Apr!E13</f>
        <v>5830</v>
      </c>
      <c r="F13" s="7">
        <f>'Budget by Month'!O14</f>
        <v>10494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22</v>
      </c>
      <c r="B14" s="6">
        <v>100</v>
      </c>
      <c r="C14" s="7">
        <f>B14+Apr!C14</f>
        <v>185</v>
      </c>
      <c r="D14" s="7">
        <f>'Budget by Month'!F15</f>
        <v>0</v>
      </c>
      <c r="E14" s="7">
        <f>D14+Apr!E14</f>
        <v>0</v>
      </c>
      <c r="F14" s="7">
        <f>'Budget by Month'!O15</f>
        <v>0</v>
      </c>
      <c r="G14" s="8" t="s">
        <v>50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24</v>
      </c>
      <c r="B15" s="16">
        <f t="shared" ref="B15:F15" si="0">SUM(B3:B14)</f>
        <v>20536.870000000003</v>
      </c>
      <c r="C15" s="16">
        <f t="shared" si="0"/>
        <v>97576.45</v>
      </c>
      <c r="D15" s="16">
        <f t="shared" si="0"/>
        <v>22156.583333333332</v>
      </c>
      <c r="E15" s="16">
        <f t="shared" si="0"/>
        <v>110782.91666666667</v>
      </c>
      <c r="F15" s="16">
        <f t="shared" si="0"/>
        <v>262381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3" t="s">
        <v>25</v>
      </c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26</v>
      </c>
      <c r="B18" s="6">
        <v>2380.29</v>
      </c>
      <c r="C18" s="7">
        <f>B18+Apr!C18</f>
        <v>11906.489999999998</v>
      </c>
      <c r="D18" s="7">
        <f>'Budget by Month'!F19</f>
        <v>2474.0833333333335</v>
      </c>
      <c r="E18" s="7">
        <f>D18+Apr!E18</f>
        <v>12370.416666666668</v>
      </c>
      <c r="F18" s="7">
        <f>'Budget by Month'!N19</f>
        <v>29688.999999999996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35</v>
      </c>
      <c r="B19" s="6"/>
      <c r="C19" s="7">
        <f>B19+Apr!C19</f>
        <v>0</v>
      </c>
      <c r="D19" s="7">
        <f>'Budget by Month'!F20</f>
        <v>83.333333333333329</v>
      </c>
      <c r="E19" s="7">
        <f>D19+Apr!E19</f>
        <v>416.66666666666663</v>
      </c>
      <c r="F19" s="7">
        <f>'Budget by Month'!N20</f>
        <v>1000.0000000000001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27</v>
      </c>
      <c r="B20" s="6">
        <v>577.07000000000005</v>
      </c>
      <c r="C20" s="7">
        <f>B20+Apr!C20</f>
        <v>1739.1800000000003</v>
      </c>
      <c r="D20" s="7">
        <f>'Budget by Month'!F21</f>
        <v>400</v>
      </c>
      <c r="E20" s="7">
        <f>D20+Apr!E20</f>
        <v>2000</v>
      </c>
      <c r="F20" s="7">
        <f>'Budget by Month'!N21</f>
        <v>4800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28</v>
      </c>
      <c r="B21" s="6">
        <f>7429.53+32.57</f>
        <v>7462.0999999999995</v>
      </c>
      <c r="C21" s="7">
        <f>B21+Apr!C21</f>
        <v>39601.54</v>
      </c>
      <c r="D21" s="7">
        <f>'Budget by Month'!F22</f>
        <v>9107.4166666666661</v>
      </c>
      <c r="E21" s="7">
        <f>D21+Apr!E21</f>
        <v>45537.083333333328</v>
      </c>
      <c r="F21" s="7">
        <f>'Budget by Month'!N22</f>
        <v>108122.19000000002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34</v>
      </c>
      <c r="B22" s="6">
        <v>0</v>
      </c>
      <c r="C22" s="7">
        <f>B22+Apr!C22</f>
        <v>3766</v>
      </c>
      <c r="D22" s="7">
        <f>'Budget by Month'!F23</f>
        <v>1737.5</v>
      </c>
      <c r="E22" s="7">
        <f>D22+Apr!E22</f>
        <v>8687.5</v>
      </c>
      <c r="F22" s="7">
        <f>'Budget by Month'!N23</f>
        <v>20850</v>
      </c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-694.22</v>
      </c>
      <c r="C23" s="7">
        <f>B23+Apr!C23</f>
        <v>-413.44000000000005</v>
      </c>
      <c r="D23" s="7">
        <f>'Budget by Month'!F24</f>
        <v>0</v>
      </c>
      <c r="E23" s="7">
        <f>D23+Apr!E23</f>
        <v>0</v>
      </c>
      <c r="F23" s="7">
        <f>'Budget by Month'!N24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15795.24</v>
      </c>
      <c r="C24" s="7">
        <f>B24+Apr!C24</f>
        <v>40584.870000000003</v>
      </c>
      <c r="D24" s="7">
        <f>'Budget by Month'!F25</f>
        <v>5244.833333333333</v>
      </c>
      <c r="E24" s="7">
        <f>D24+Apr!E24</f>
        <v>26224.166666666664</v>
      </c>
      <c r="F24" s="7">
        <f>'Budget by Month'!N25</f>
        <v>62938.000000000007</v>
      </c>
      <c r="G24" s="8" t="s">
        <v>48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32</v>
      </c>
      <c r="B25" s="6">
        <v>3029.97</v>
      </c>
      <c r="C25" s="7">
        <f>B25+Apr!C25</f>
        <v>17886.25</v>
      </c>
      <c r="D25" s="7">
        <f>'Budget by Month'!F26</f>
        <v>3053.08</v>
      </c>
      <c r="E25" s="7">
        <f>D25+Apr!E25</f>
        <v>16275.4</v>
      </c>
      <c r="F25" s="7">
        <f>'Budget by Month'!N26</f>
        <v>34323.020000000004</v>
      </c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36</v>
      </c>
      <c r="B26" s="6">
        <v>14645</v>
      </c>
      <c r="C26" s="7">
        <f>B26+Apr!C26</f>
        <v>14695</v>
      </c>
      <c r="D26" s="7">
        <f>'Budget by Month'!F27</f>
        <v>2028</v>
      </c>
      <c r="E26" s="7">
        <f>D26+Apr!E26</f>
        <v>10140</v>
      </c>
      <c r="F26" s="7">
        <f>'Budget by Month'!N27</f>
        <v>24336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38</v>
      </c>
      <c r="B27" s="16">
        <f t="shared" ref="B27:D27" si="1">SUM(B18:B26)</f>
        <v>43195.45</v>
      </c>
      <c r="C27" s="16">
        <f t="shared" si="1"/>
        <v>129765.89</v>
      </c>
      <c r="D27" s="16">
        <f t="shared" si="1"/>
        <v>24128.246666666666</v>
      </c>
      <c r="E27" s="16"/>
      <c r="F27" s="16">
        <f>SUM(F18:F26)</f>
        <v>286058.21000000002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3">
        <v>42855</v>
      </c>
      <c r="C29" s="23">
        <v>43220</v>
      </c>
      <c r="D29" s="24" t="s">
        <v>39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/>
      <c r="C30" s="7">
        <f>B15</f>
        <v>20536.870000000003</v>
      </c>
      <c r="D30" s="7">
        <f>D15</f>
        <v>22156.583333333332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25</v>
      </c>
      <c r="B33" s="6"/>
      <c r="C33" s="7">
        <f>B27</f>
        <v>43195.45</v>
      </c>
      <c r="D33" s="7">
        <f>D27</f>
        <v>24128.246666666666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42</v>
      </c>
      <c r="C34" s="10">
        <f>C30-C33</f>
        <v>-22658.579999999994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43</v>
      </c>
      <c r="B35" s="29">
        <v>2393.7199999999998</v>
      </c>
      <c r="C35" s="2"/>
      <c r="D35" s="30">
        <f>B35+B36</f>
        <v>13205.609999999999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44</v>
      </c>
      <c r="B36" s="29">
        <f>17238.89-6427</f>
        <v>10811.89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36</v>
      </c>
      <c r="B37" s="31">
        <f>10236+1157+1812+1440-50+4326-14645+2151</f>
        <v>6427</v>
      </c>
      <c r="C37" s="2"/>
      <c r="D37" s="2"/>
      <c r="E37" s="2"/>
      <c r="F37" s="2"/>
      <c r="G37" s="2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30">
        <f>SUM(Apr!B35:B37)</f>
        <v>42291.19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30">
        <f>SUM(B35:B38)</f>
        <v>19632.61</v>
      </c>
      <c r="C41" s="30">
        <f>C38+C30-C33</f>
        <v>19632.610000000008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30">
        <f>B41-C41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15</v>
      </c>
      <c r="B3" s="6">
        <v>110</v>
      </c>
      <c r="C3" s="7">
        <f>B3+Mar!C3</f>
        <v>322</v>
      </c>
      <c r="D3" s="7">
        <f>'Budget by Month'!E4</f>
        <v>83.333333333333329</v>
      </c>
      <c r="E3" s="7">
        <f>D3+Mar!E3</f>
        <v>333.33333333333331</v>
      </c>
      <c r="F3" s="7">
        <f>'Budget by Month'!O4</f>
        <v>1000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17</v>
      </c>
      <c r="B4" s="6">
        <f>4572.63-175</f>
        <v>4397.63</v>
      </c>
      <c r="C4" s="7">
        <f>B4+Mar!C4</f>
        <v>8831.2799999999988</v>
      </c>
      <c r="D4" s="7">
        <f>'Budget by Month'!E5</f>
        <v>83.333333333333329</v>
      </c>
      <c r="E4" s="7">
        <f>D4+Mar!E4</f>
        <v>333.33333333333331</v>
      </c>
      <c r="F4" s="7">
        <f>'Budget by Month'!O5</f>
        <v>1000</v>
      </c>
      <c r="G4" s="8" t="s">
        <v>51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18</v>
      </c>
      <c r="B5" s="10"/>
      <c r="C5" s="7">
        <f>B5+Mar!C5</f>
        <v>0</v>
      </c>
      <c r="D5" s="7">
        <f>'Budget by Month'!E6</f>
        <v>1341.6666666666667</v>
      </c>
      <c r="E5" s="7">
        <f>D5+Mar!E5</f>
        <v>5366.666666666667</v>
      </c>
      <c r="F5" s="7">
        <f>'Budget by Month'!O6</f>
        <v>16100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13</v>
      </c>
      <c r="B6" s="10"/>
      <c r="C6" s="7">
        <f>B6+Mar!C6</f>
        <v>0</v>
      </c>
      <c r="D6" s="7">
        <f>'Budget by Month'!E7</f>
        <v>0</v>
      </c>
      <c r="E6" s="7">
        <f>D6+Mar!E6</f>
        <v>0</v>
      </c>
      <c r="F6" s="7">
        <f>'Budget by Month'!O7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10</v>
      </c>
      <c r="B7" s="6">
        <v>149</v>
      </c>
      <c r="C7" s="7">
        <f>B7+Mar!C7</f>
        <v>619.31999999999994</v>
      </c>
      <c r="D7" s="7">
        <f>'Budget by Month'!E8</f>
        <v>166.66666666666666</v>
      </c>
      <c r="E7" s="7">
        <f>D7+Mar!E7</f>
        <v>666.66666666666663</v>
      </c>
      <c r="F7" s="7">
        <f>'Budget by Month'!O8</f>
        <v>2000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>
        <v>13.01</v>
      </c>
      <c r="C8" s="7">
        <f>B8+Mar!C8</f>
        <v>16.82</v>
      </c>
      <c r="D8" s="7">
        <f>'Budget by Month'!E9</f>
        <v>0</v>
      </c>
      <c r="E8" s="7">
        <f>D8+Mar!E8</f>
        <v>0</v>
      </c>
      <c r="F8" s="7">
        <f>'Budget by Month'!O9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15070.61</v>
      </c>
      <c r="C9" s="7">
        <f>B9+Mar!C9</f>
        <v>56899.520000000004</v>
      </c>
      <c r="D9" s="7">
        <f>'Budget by Month'!E10</f>
        <v>18091.25</v>
      </c>
      <c r="E9" s="7">
        <f>D9+Mar!E9</f>
        <v>72365</v>
      </c>
      <c r="F9" s="7">
        <f>'Budget by Month'!O10</f>
        <v>217095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12</v>
      </c>
      <c r="B10" s="6">
        <f>175+10</f>
        <v>185</v>
      </c>
      <c r="C10" s="7">
        <f>B10+Mar!C10</f>
        <v>62.64</v>
      </c>
      <c r="D10" s="7">
        <f>'Budget by Month'!E11</f>
        <v>0</v>
      </c>
      <c r="E10" s="7">
        <f>D10+Mar!E10</f>
        <v>0</v>
      </c>
      <c r="F10" s="7">
        <f>'Budget by Month'!O11</f>
        <v>0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19</v>
      </c>
      <c r="B11" s="6">
        <v>1433</v>
      </c>
      <c r="C11" s="7">
        <f>B11+Mar!C11</f>
        <v>4347</v>
      </c>
      <c r="D11" s="7">
        <f>'Budget by Month'!E12</f>
        <v>1224.3333333333333</v>
      </c>
      <c r="E11" s="7">
        <f>D11+Mar!E11</f>
        <v>4897.333333333333</v>
      </c>
      <c r="F11" s="7">
        <f>'Budget by Month'!O12</f>
        <v>14692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21</v>
      </c>
      <c r="B12" s="6"/>
      <c r="C12" s="7">
        <f>B12+Mar!C12</f>
        <v>767</v>
      </c>
      <c r="D12" s="7">
        <f>'Budget by Month'!E13</f>
        <v>0</v>
      </c>
      <c r="E12" s="7">
        <f>D12+Mar!E12</f>
        <v>0</v>
      </c>
      <c r="F12" s="7">
        <f>'Budget by Month'!O13</f>
        <v>0</v>
      </c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>
        <v>1266</v>
      </c>
      <c r="C13" s="7">
        <f>B13+Mar!C13</f>
        <v>5089</v>
      </c>
      <c r="D13" s="7">
        <f>'Budget by Month'!E14</f>
        <v>1166</v>
      </c>
      <c r="E13" s="7">
        <f>D13+Mar!E13</f>
        <v>4664</v>
      </c>
      <c r="F13" s="7">
        <f>'Budget by Month'!O14</f>
        <v>10494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22</v>
      </c>
      <c r="B14" s="6"/>
      <c r="C14" s="7">
        <f>B14+Mar!C14</f>
        <v>85</v>
      </c>
      <c r="D14" s="7">
        <f>'Budget by Month'!E15</f>
        <v>0</v>
      </c>
      <c r="E14" s="7">
        <f>D14+Mar!E14</f>
        <v>0</v>
      </c>
      <c r="F14" s="7">
        <f>'Budget by Month'!O15</f>
        <v>0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24</v>
      </c>
      <c r="B15" s="16">
        <f t="shared" ref="B15:F15" si="0">SUM(B3:B14)</f>
        <v>22624.25</v>
      </c>
      <c r="C15" s="16">
        <f t="shared" si="0"/>
        <v>77039.58</v>
      </c>
      <c r="D15" s="16">
        <f t="shared" si="0"/>
        <v>22156.583333333332</v>
      </c>
      <c r="E15" s="16">
        <f t="shared" si="0"/>
        <v>88626.333333333328</v>
      </c>
      <c r="F15" s="16">
        <f t="shared" si="0"/>
        <v>262381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3" t="s">
        <v>25</v>
      </c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26</v>
      </c>
      <c r="B18" s="6">
        <v>2433.85</v>
      </c>
      <c r="C18" s="7">
        <f>B18+Mar!C18</f>
        <v>9526.1999999999989</v>
      </c>
      <c r="D18" s="7">
        <f>'Budget by Month'!E19</f>
        <v>2474.0833333333335</v>
      </c>
      <c r="E18" s="7">
        <f>D18+Mar!E18</f>
        <v>9896.3333333333339</v>
      </c>
      <c r="F18" s="7">
        <f>'Budget by Month'!N19</f>
        <v>29688.999999999996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35</v>
      </c>
      <c r="B19" s="7"/>
      <c r="C19" s="7">
        <f>B19+Mar!C19</f>
        <v>0</v>
      </c>
      <c r="D19" s="7">
        <f>'Budget by Month'!E20</f>
        <v>83.333333333333329</v>
      </c>
      <c r="E19" s="7">
        <f>D19+Mar!E19</f>
        <v>333.33333333333331</v>
      </c>
      <c r="F19" s="7">
        <f>'Budget by Month'!N20</f>
        <v>1000.0000000000001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27</v>
      </c>
      <c r="B20" s="6">
        <v>313.75</v>
      </c>
      <c r="C20" s="7">
        <f>B20+Mar!C20</f>
        <v>1162.1100000000001</v>
      </c>
      <c r="D20" s="7">
        <f>'Budget by Month'!E21</f>
        <v>400</v>
      </c>
      <c r="E20" s="7">
        <f>D20+Mar!E20</f>
        <v>1600</v>
      </c>
      <c r="F20" s="7">
        <f>'Budget by Month'!N21</f>
        <v>4800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28</v>
      </c>
      <c r="B21" s="6">
        <v>9653.4599999999991</v>
      </c>
      <c r="C21" s="7">
        <f>B21+Mar!C21</f>
        <v>32139.439999999999</v>
      </c>
      <c r="D21" s="7">
        <f>'Budget by Month'!E22</f>
        <v>9107.4166666666661</v>
      </c>
      <c r="E21" s="7">
        <f>D21+Mar!E21</f>
        <v>36429.666666666664</v>
      </c>
      <c r="F21" s="7">
        <f>'Budget by Month'!N22</f>
        <v>108122.19000000002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34</v>
      </c>
      <c r="B22" s="6">
        <v>1747</v>
      </c>
      <c r="C22" s="7">
        <f>B22+Mar!C22</f>
        <v>3766</v>
      </c>
      <c r="D22" s="7">
        <f>'Budget by Month'!E23</f>
        <v>1737.5</v>
      </c>
      <c r="E22" s="7">
        <f>D22+Mar!E22</f>
        <v>6950</v>
      </c>
      <c r="F22" s="7">
        <f>'Budget by Month'!N23</f>
        <v>20850</v>
      </c>
      <c r="G22" s="8" t="s">
        <v>57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195.2</v>
      </c>
      <c r="C23" s="7">
        <f>B23+Mar!C23</f>
        <v>280.77999999999997</v>
      </c>
      <c r="D23" s="7">
        <f>'Budget by Month'!E24</f>
        <v>0</v>
      </c>
      <c r="E23" s="7">
        <f>D23+Mar!E23</f>
        <v>0</v>
      </c>
      <c r="F23" s="7">
        <f>'Budget by Month'!N24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4256.18</v>
      </c>
      <c r="C24" s="7">
        <f>B24+Mar!C24</f>
        <v>24789.63</v>
      </c>
      <c r="D24" s="7">
        <f>'Budget by Month'!E25</f>
        <v>5244.833333333333</v>
      </c>
      <c r="E24" s="7">
        <f>D24+Mar!E24</f>
        <v>20979.333333333332</v>
      </c>
      <c r="F24" s="7">
        <f>'Budget by Month'!N25</f>
        <v>62938.000000000007</v>
      </c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32</v>
      </c>
      <c r="B25" s="6">
        <v>3029.97</v>
      </c>
      <c r="C25" s="7">
        <f>B25+Mar!C25</f>
        <v>14856.279999999999</v>
      </c>
      <c r="D25" s="7">
        <f>'Budget by Month'!E26</f>
        <v>3305.58</v>
      </c>
      <c r="E25" s="7">
        <f>D25+Mar!E25</f>
        <v>13222.32</v>
      </c>
      <c r="F25" s="7">
        <f>'Budget by Month'!N26</f>
        <v>34323.020000000004</v>
      </c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36</v>
      </c>
      <c r="B26" s="6"/>
      <c r="C26" s="7">
        <f>B26+Mar!C26</f>
        <v>50</v>
      </c>
      <c r="D26" s="7">
        <f>'Budget by Month'!E27</f>
        <v>2028</v>
      </c>
      <c r="E26" s="7">
        <f>D26+Mar!E26</f>
        <v>8112</v>
      </c>
      <c r="F26" s="7">
        <f>'Budget by Month'!N27</f>
        <v>24336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38</v>
      </c>
      <c r="B27" s="16">
        <f t="shared" ref="B27:D27" si="1">SUM(B18:B26)</f>
        <v>21629.410000000003</v>
      </c>
      <c r="C27" s="16">
        <f t="shared" si="1"/>
        <v>86570.44</v>
      </c>
      <c r="D27" s="16">
        <f t="shared" si="1"/>
        <v>24380.746666666666</v>
      </c>
      <c r="E27" s="16"/>
      <c r="F27" s="16">
        <f>SUM(F18:F26)</f>
        <v>286058.21000000002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3">
        <v>42855</v>
      </c>
      <c r="C29" s="23">
        <v>43220</v>
      </c>
      <c r="D29" s="24" t="s">
        <v>39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>
        <v>24556</v>
      </c>
      <c r="C30" s="7">
        <f>B15</f>
        <v>22624.25</v>
      </c>
      <c r="D30" s="7">
        <f>F15/12</f>
        <v>21865.083333333332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25</v>
      </c>
      <c r="B33" s="6">
        <v>20693</v>
      </c>
      <c r="C33" s="7">
        <f>B27</f>
        <v>21629.410000000003</v>
      </c>
      <c r="D33" s="7">
        <f>D27</f>
        <v>24380.746666666666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42</v>
      </c>
      <c r="C34" s="10">
        <f>C30-C33</f>
        <v>994.83999999999651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43</v>
      </c>
      <c r="B35" s="29">
        <v>7164.98</v>
      </c>
      <c r="C35" s="2"/>
      <c r="D35" s="30">
        <f>B35+B36</f>
        <v>23370.19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44</v>
      </c>
      <c r="B36" s="29">
        <f>37214.64-B37-2088.43</f>
        <v>16205.21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36</v>
      </c>
      <c r="B37" s="31">
        <f>10236+1157+1812+1440-50+4326</f>
        <v>18921</v>
      </c>
      <c r="C37" s="2"/>
      <c r="D37" s="2"/>
      <c r="E37" s="2"/>
      <c r="F37" s="2"/>
      <c r="G37" s="2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30">
        <f>SUM(Mar!B35:B37)</f>
        <v>41882.129999999997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30">
        <f>SUM(B35:B38)</f>
        <v>42291.19</v>
      </c>
      <c r="C41" s="30">
        <f>C38+C30-C33</f>
        <v>42876.969999999994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30">
        <f>B41-C41</f>
        <v>-585.77999999999156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15</v>
      </c>
      <c r="B3" s="6">
        <v>15</v>
      </c>
      <c r="C3" s="7">
        <f>B3+Feb!D3</f>
        <v>212</v>
      </c>
      <c r="D3" s="7">
        <f>'Budget by Month'!D4</f>
        <v>83.333333333333329</v>
      </c>
      <c r="E3" s="7">
        <f>D3+Feb!F3</f>
        <v>250</v>
      </c>
      <c r="F3" s="7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17</v>
      </c>
      <c r="B4" s="6">
        <v>1440</v>
      </c>
      <c r="C4" s="7">
        <f>B4+Feb!D4</f>
        <v>4433.6499999999996</v>
      </c>
      <c r="D4" s="7">
        <f>'Budget by Month'!D5</f>
        <v>83.333333333333329</v>
      </c>
      <c r="E4" s="7">
        <f>D4+Feb!F4</f>
        <v>250</v>
      </c>
      <c r="F4" s="7"/>
      <c r="G4" s="8" t="s">
        <v>36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18</v>
      </c>
      <c r="B5" s="10"/>
      <c r="C5" s="7">
        <f>B5+Feb!D5</f>
        <v>0</v>
      </c>
      <c r="D5" s="7">
        <f>'Budget by Month'!D6</f>
        <v>1341.6666666666667</v>
      </c>
      <c r="E5" s="7">
        <f>D5+Feb!F5</f>
        <v>4025</v>
      </c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13</v>
      </c>
      <c r="B6" s="10"/>
      <c r="C6" s="7">
        <f>B6+Feb!D6</f>
        <v>0</v>
      </c>
      <c r="D6" s="7">
        <f>'Budget by Month'!D7</f>
        <v>0</v>
      </c>
      <c r="E6" s="7">
        <f>D6+Feb!F6</f>
        <v>0</v>
      </c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10</v>
      </c>
      <c r="B7" s="6">
        <v>168.89</v>
      </c>
      <c r="C7" s="7">
        <f>B7+Feb!D7</f>
        <v>470.31999999999994</v>
      </c>
      <c r="D7" s="7">
        <f>'Budget by Month'!D8</f>
        <v>166.66666666666666</v>
      </c>
      <c r="E7" s="7">
        <f>D7+Feb!F7</f>
        <v>500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/>
      <c r="C8" s="7">
        <f>B8+Feb!D8</f>
        <v>3.81</v>
      </c>
      <c r="D8" s="7">
        <f>'Budget by Month'!D9</f>
        <v>0</v>
      </c>
      <c r="E8" s="7">
        <f>D8+Feb!F8</f>
        <v>0</v>
      </c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15659</v>
      </c>
      <c r="C9" s="7">
        <f>B9+Feb!D9</f>
        <v>41828.910000000003</v>
      </c>
      <c r="D9" s="7">
        <f>'Budget by Month'!D10</f>
        <v>18091.25</v>
      </c>
      <c r="E9" s="7">
        <f>D9+Feb!F9</f>
        <v>54273.75</v>
      </c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12</v>
      </c>
      <c r="B10" s="6">
        <v>-123.5</v>
      </c>
      <c r="C10" s="7">
        <f>B10+Feb!D10</f>
        <v>-122.36</v>
      </c>
      <c r="D10" s="7">
        <f>'Budget by Month'!D11</f>
        <v>0</v>
      </c>
      <c r="E10" s="7">
        <f>D10+Feb!F10</f>
        <v>0</v>
      </c>
      <c r="F10" s="10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19</v>
      </c>
      <c r="B11" s="6">
        <v>980</v>
      </c>
      <c r="C11" s="7">
        <f>B11+Feb!D11</f>
        <v>2914</v>
      </c>
      <c r="D11" s="7">
        <f>'Budget by Month'!D12</f>
        <v>1224.3333333333333</v>
      </c>
      <c r="E11" s="7">
        <f>D11+Feb!F11</f>
        <v>3673</v>
      </c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21</v>
      </c>
      <c r="B12" s="6">
        <v>767</v>
      </c>
      <c r="C12" s="7">
        <f>B12+Feb!D12</f>
        <v>767</v>
      </c>
      <c r="D12" s="7">
        <f>'Budget by Month'!D13</f>
        <v>0</v>
      </c>
      <c r="E12" s="7">
        <f>D12+Feb!F12</f>
        <v>0</v>
      </c>
      <c r="F12" s="10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>
        <v>1266</v>
      </c>
      <c r="C13" s="7">
        <f>B13+Feb!D13</f>
        <v>3823</v>
      </c>
      <c r="D13" s="7">
        <f>'Budget by Month'!D14</f>
        <v>1166</v>
      </c>
      <c r="E13" s="7">
        <f>D13+Feb!F13</f>
        <v>3498</v>
      </c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22</v>
      </c>
      <c r="B14" s="6"/>
      <c r="C14" s="7">
        <f>B14+Feb!D14</f>
        <v>85</v>
      </c>
      <c r="D14" s="7">
        <f>'Budget by Month'!D15</f>
        <v>0</v>
      </c>
      <c r="E14" s="7">
        <f>D14+Feb!F14</f>
        <v>0</v>
      </c>
      <c r="F14" s="7"/>
      <c r="G14" s="8" t="s">
        <v>53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24</v>
      </c>
      <c r="B15" s="16">
        <f t="shared" ref="B15:F15" si="0">SUM(B3:B14)</f>
        <v>20172.39</v>
      </c>
      <c r="C15" s="16">
        <f t="shared" si="0"/>
        <v>54415.33</v>
      </c>
      <c r="D15" s="16">
        <f t="shared" si="0"/>
        <v>22156.583333333332</v>
      </c>
      <c r="E15" s="16">
        <f t="shared" si="0"/>
        <v>66469.75</v>
      </c>
      <c r="F15" s="16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3" t="s">
        <v>25</v>
      </c>
      <c r="B17" s="18"/>
      <c r="C17" s="18"/>
      <c r="D17" s="18"/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26</v>
      </c>
      <c r="B18" s="6">
        <v>2405.6999999999998</v>
      </c>
      <c r="C18" s="7">
        <f>B18+Feb!D18</f>
        <v>7092.3499999999995</v>
      </c>
      <c r="D18" s="7">
        <f>'Budget by Month'!D19</f>
        <v>2474.0833333333335</v>
      </c>
      <c r="E18" s="7">
        <f>D18+Feb!F18</f>
        <v>7422.25</v>
      </c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35</v>
      </c>
      <c r="B19" s="7"/>
      <c r="C19" s="7">
        <f>B19+Feb!D19</f>
        <v>0</v>
      </c>
      <c r="D19" s="7">
        <f>'Budget by Month'!D20</f>
        <v>83.333333333333329</v>
      </c>
      <c r="E19" s="7">
        <f>D19+Feb!F19</f>
        <v>250</v>
      </c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27</v>
      </c>
      <c r="B20" s="6">
        <v>349.74</v>
      </c>
      <c r="C20" s="7">
        <f>B20+Feb!D20</f>
        <v>848.36</v>
      </c>
      <c r="D20" s="7">
        <f>'Budget by Month'!D21</f>
        <v>400</v>
      </c>
      <c r="E20" s="7">
        <f>D20+Feb!F20</f>
        <v>1200</v>
      </c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28</v>
      </c>
      <c r="B21" s="6">
        <v>7240.23</v>
      </c>
      <c r="C21" s="7">
        <f>B21+Feb!D21</f>
        <v>22485.98</v>
      </c>
      <c r="D21" s="7">
        <f>'Budget by Month'!D22</f>
        <v>9107.4166666666661</v>
      </c>
      <c r="E21" s="7">
        <f>D21+Feb!F21</f>
        <v>27322.25</v>
      </c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34</v>
      </c>
      <c r="B22" s="6">
        <v>2019</v>
      </c>
      <c r="C22" s="7">
        <f>B22+Feb!D22</f>
        <v>2019</v>
      </c>
      <c r="D22" s="7">
        <f>'Budget by Month'!D23</f>
        <v>1737.5</v>
      </c>
      <c r="E22" s="7">
        <f>D22+Feb!F22</f>
        <v>5212.5</v>
      </c>
      <c r="F22" s="7"/>
      <c r="G22" s="8" t="s">
        <v>54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-196.32</v>
      </c>
      <c r="C23" s="7">
        <f>B23+Feb!D23</f>
        <v>85.579999999999984</v>
      </c>
      <c r="D23" s="7">
        <f>'Budget by Month'!D24</f>
        <v>0</v>
      </c>
      <c r="E23" s="7">
        <f>D23+Feb!F23</f>
        <v>0</v>
      </c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4603.3599999999997</v>
      </c>
      <c r="C24" s="7">
        <f>B24+Feb!D24</f>
        <v>20533.45</v>
      </c>
      <c r="D24" s="7">
        <f>'Budget by Month'!D25</f>
        <v>5244.833333333333</v>
      </c>
      <c r="E24" s="7">
        <f>D24+Feb!F24</f>
        <v>15734.5</v>
      </c>
      <c r="F24" s="7"/>
      <c r="G24" s="8" t="s">
        <v>55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32</v>
      </c>
      <c r="B25" s="6">
        <v>5039.49</v>
      </c>
      <c r="C25" s="7">
        <f>B25+Feb!D25</f>
        <v>11826.31</v>
      </c>
      <c r="D25" s="7">
        <f>'Budget by Month'!D26</f>
        <v>3305.58</v>
      </c>
      <c r="E25" s="7">
        <f>D25+Feb!F25</f>
        <v>9916.74</v>
      </c>
      <c r="F25" s="7"/>
      <c r="G25" s="8" t="s">
        <v>56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36</v>
      </c>
      <c r="B26" s="6">
        <v>50</v>
      </c>
      <c r="C26" s="7">
        <f>B26+Feb!D26</f>
        <v>50</v>
      </c>
      <c r="D26" s="7">
        <f>'Budget by Month'!D27</f>
        <v>2028</v>
      </c>
      <c r="E26" s="7">
        <f>D26+Feb!F26</f>
        <v>6084</v>
      </c>
      <c r="F26" s="7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38</v>
      </c>
      <c r="B27" s="16">
        <f t="shared" ref="B27:D27" si="1">SUM(B18:B26)</f>
        <v>21511.199999999997</v>
      </c>
      <c r="C27" s="16">
        <f t="shared" si="1"/>
        <v>64941.03</v>
      </c>
      <c r="D27" s="16">
        <f t="shared" si="1"/>
        <v>24380.746666666666</v>
      </c>
      <c r="E27" s="16"/>
      <c r="F27" s="16">
        <f>SUM(F18:F26)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3">
        <v>42825</v>
      </c>
      <c r="C29" s="23">
        <v>43190</v>
      </c>
      <c r="D29" s="24" t="s">
        <v>39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>
        <v>18491</v>
      </c>
      <c r="C30" s="7">
        <f>B15</f>
        <v>20172.39</v>
      </c>
      <c r="D30" s="7">
        <f>F15/12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8">
        <v>30407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25</v>
      </c>
      <c r="B33" s="6">
        <v>17981</v>
      </c>
      <c r="C33" s="7">
        <f>B27</f>
        <v>21511.199999999997</v>
      </c>
      <c r="D33" s="7">
        <f>D27</f>
        <v>24380.746666666666</v>
      </c>
      <c r="E33" s="2"/>
      <c r="F33" s="2"/>
      <c r="G33" s="2"/>
      <c r="H33" s="2"/>
      <c r="I33" s="10">
        <f>I32+C30</f>
        <v>50579.39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42</v>
      </c>
      <c r="C34" s="10">
        <f>C30-C33</f>
        <v>-1338.8099999999977</v>
      </c>
      <c r="D34" s="2"/>
      <c r="E34" s="2"/>
      <c r="F34" s="2"/>
      <c r="G34" s="2"/>
      <c r="H34" s="2"/>
      <c r="I34" s="10">
        <f>I33-C33</f>
        <v>29068.190000000002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43</v>
      </c>
      <c r="B35" s="29">
        <v>6867.49</v>
      </c>
      <c r="C35" s="2"/>
      <c r="D35" s="30">
        <f>B35+B36</f>
        <v>27287.129999999997</v>
      </c>
      <c r="E35" s="2"/>
      <c r="F35" s="2"/>
      <c r="G35" s="2"/>
      <c r="H35" s="2"/>
      <c r="I35" s="10">
        <f>B4-B26</f>
        <v>1390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44</v>
      </c>
      <c r="B36" s="29">
        <f>35014.64-B37</f>
        <v>20419.64</v>
      </c>
      <c r="C36" s="2"/>
      <c r="D36" s="2"/>
      <c r="E36" s="2"/>
      <c r="F36" s="2"/>
      <c r="G36" s="2"/>
      <c r="H36" s="2"/>
      <c r="I36" s="10">
        <f>I34-I35</f>
        <v>27678.190000000002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36</v>
      </c>
      <c r="B37" s="31">
        <f>10236+1157+1812+1440-50</f>
        <v>14595</v>
      </c>
      <c r="C37" s="2"/>
      <c r="D37" s="2"/>
      <c r="E37" s="2"/>
      <c r="F37" s="2"/>
      <c r="G37" s="2"/>
      <c r="H37" s="8" t="s">
        <v>58</v>
      </c>
      <c r="I37" s="8">
        <v>391.73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2"/>
      <c r="D38" s="2"/>
      <c r="E38" s="2"/>
      <c r="F38" s="2"/>
      <c r="G38" s="2"/>
      <c r="H38" s="2"/>
      <c r="I38" s="10">
        <f>I36-I37</f>
        <v>27286.460000000003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32">
        <f>43612.67-391.73</f>
        <v>43220.939999999995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30">
        <f>SUM(B35:B38)</f>
        <v>41882.129999999997</v>
      </c>
      <c r="C41" s="33">
        <f>C39+C30-C33</f>
        <v>41882.129999999997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30">
        <f>B41-C41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B1006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8" ht="16" x14ac:dyDescent="0.2">
      <c r="A1" s="1">
        <v>43132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 x14ac:dyDescent="0.15">
      <c r="A2" s="3" t="s">
        <v>0</v>
      </c>
      <c r="B2" s="2" t="s">
        <v>1</v>
      </c>
      <c r="C2" s="2"/>
      <c r="D2" s="2" t="s">
        <v>2</v>
      </c>
      <c r="E2" s="2" t="s">
        <v>3</v>
      </c>
      <c r="F2" s="2" t="s">
        <v>4</v>
      </c>
      <c r="G2" s="8" t="s">
        <v>5</v>
      </c>
      <c r="H2" s="2" t="s">
        <v>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15">
      <c r="A3" s="2" t="s">
        <v>15</v>
      </c>
      <c r="B3" s="6">
        <v>167</v>
      </c>
      <c r="C3" s="6"/>
      <c r="D3" s="7">
        <f>B3+Jan!C3</f>
        <v>197</v>
      </c>
      <c r="E3" s="7">
        <f>'Budget by Month'!C4</f>
        <v>83.333333333333329</v>
      </c>
      <c r="F3" s="7">
        <f>E3+Jan!E3</f>
        <v>166.66666666666666</v>
      </c>
      <c r="G3" s="7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15">
      <c r="A4" s="2" t="s">
        <v>17</v>
      </c>
      <c r="B4" s="6">
        <v>1836.65</v>
      </c>
      <c r="C4" s="6"/>
      <c r="D4" s="7">
        <f>B4+Jan!C4</f>
        <v>2993.65</v>
      </c>
      <c r="E4" s="7">
        <f>'Budget by Month'!C5</f>
        <v>83.333333333333329</v>
      </c>
      <c r="F4" s="7">
        <f>E4+Jan!E4</f>
        <v>166.66666666666666</v>
      </c>
      <c r="G4" s="7"/>
      <c r="H4" s="8" t="s">
        <v>52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15">
      <c r="A5" s="2" t="s">
        <v>18</v>
      </c>
      <c r="B5" s="10"/>
      <c r="C5" s="10"/>
      <c r="D5" s="7">
        <f>B5+Jan!C5</f>
        <v>0</v>
      </c>
      <c r="E5" s="7">
        <f>'Budget by Month'!C6</f>
        <v>1341.6666666666667</v>
      </c>
      <c r="F5" s="7">
        <f>E5+Jan!E5</f>
        <v>2683.3333333333335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15">
      <c r="A6" s="2" t="s">
        <v>13</v>
      </c>
      <c r="B6" s="10"/>
      <c r="C6" s="10"/>
      <c r="D6" s="7">
        <f>B6+Jan!C6</f>
        <v>0</v>
      </c>
      <c r="E6" s="7">
        <f>'Budget by Month'!C7</f>
        <v>0</v>
      </c>
      <c r="F6" s="7">
        <f>E6+Jan!E6</f>
        <v>0</v>
      </c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15">
      <c r="A7" s="2" t="s">
        <v>10</v>
      </c>
      <c r="B7" s="6">
        <v>172.39</v>
      </c>
      <c r="C7" s="6"/>
      <c r="D7" s="7">
        <f>B7+Jan!C7</f>
        <v>301.42999999999995</v>
      </c>
      <c r="E7" s="7">
        <f>'Budget by Month'!C8</f>
        <v>166.66666666666666</v>
      </c>
      <c r="F7" s="7">
        <f>E7+Jan!E7</f>
        <v>333.33333333333331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15">
      <c r="A8" s="2" t="s">
        <v>11</v>
      </c>
      <c r="B8" s="6">
        <v>1.87</v>
      </c>
      <c r="C8" s="6"/>
      <c r="D8" s="7">
        <f>B8+Jan!C8</f>
        <v>3.81</v>
      </c>
      <c r="E8" s="7">
        <f>'Budget by Month'!C9</f>
        <v>0</v>
      </c>
      <c r="F8" s="7">
        <f>E8+Jan!E8</f>
        <v>0</v>
      </c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15">
      <c r="A9" s="2" t="s">
        <v>7</v>
      </c>
      <c r="B9" s="6">
        <v>11939.38</v>
      </c>
      <c r="C9" s="6"/>
      <c r="D9" s="7">
        <f>B9+Jan!C9</f>
        <v>26169.91</v>
      </c>
      <c r="E9" s="7">
        <f>'Budget by Month'!C10</f>
        <v>18091.25</v>
      </c>
      <c r="F9" s="7">
        <f>E9+Jan!E9</f>
        <v>36182.5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15">
      <c r="A10" s="2" t="s">
        <v>12</v>
      </c>
      <c r="B10" s="6">
        <v>93</v>
      </c>
      <c r="C10" s="6"/>
      <c r="D10" s="7">
        <f>B10+Jan!C10</f>
        <v>1.1400000000000006</v>
      </c>
      <c r="E10" s="7">
        <f>'Budget by Month'!C11</f>
        <v>0</v>
      </c>
      <c r="F10" s="7">
        <f>E10+Jan!E10</f>
        <v>0</v>
      </c>
      <c r="G10" s="10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15">
      <c r="A11" s="2" t="s">
        <v>19</v>
      </c>
      <c r="B11" s="6">
        <v>903</v>
      </c>
      <c r="C11" s="6"/>
      <c r="D11" s="7">
        <f>B11+Jan!C11</f>
        <v>1934</v>
      </c>
      <c r="E11" s="7">
        <f>'Budget by Month'!C12</f>
        <v>1224.3333333333333</v>
      </c>
      <c r="F11" s="7">
        <f>E11+Jan!E11</f>
        <v>2448.6666666666665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15">
      <c r="A12" s="2" t="s">
        <v>21</v>
      </c>
      <c r="B12" s="7">
        <v>0</v>
      </c>
      <c r="C12" s="7"/>
      <c r="D12" s="7">
        <f>B12+Jan!C12</f>
        <v>0</v>
      </c>
      <c r="E12" s="7">
        <f>'Budget by Month'!C13</f>
        <v>0</v>
      </c>
      <c r="F12" s="7">
        <f>E12+Jan!E12</f>
        <v>0</v>
      </c>
      <c r="G12" s="10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15">
      <c r="A13" s="2" t="s">
        <v>8</v>
      </c>
      <c r="B13" s="6">
        <v>1166</v>
      </c>
      <c r="C13" s="6"/>
      <c r="D13" s="7">
        <f>B13+Jan!C13</f>
        <v>2557</v>
      </c>
      <c r="E13" s="7">
        <f>'Budget by Month'!C14</f>
        <v>1166</v>
      </c>
      <c r="F13" s="7">
        <f>E13+Jan!E13</f>
        <v>2332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15">
      <c r="A14" s="2" t="s">
        <v>22</v>
      </c>
      <c r="B14" s="6">
        <v>0</v>
      </c>
      <c r="C14" s="6"/>
      <c r="D14" s="7">
        <f>B14+Jan!C14</f>
        <v>85</v>
      </c>
      <c r="E14" s="7">
        <f>'Budget by Month'!C15</f>
        <v>0</v>
      </c>
      <c r="F14" s="7">
        <f>E14+Jan!E14</f>
        <v>0</v>
      </c>
      <c r="G14" s="7"/>
      <c r="H14" s="8" t="s">
        <v>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15">
      <c r="A15" s="2" t="s">
        <v>24</v>
      </c>
      <c r="B15" s="16">
        <f>SUM(B3:B14)</f>
        <v>16279.289999999999</v>
      </c>
      <c r="C15" s="16"/>
      <c r="D15" s="16">
        <f t="shared" ref="D15:G15" si="0">SUM(D3:D14)</f>
        <v>34242.94</v>
      </c>
      <c r="E15" s="16">
        <f t="shared" si="0"/>
        <v>22156.583333333332</v>
      </c>
      <c r="F15" s="16">
        <f t="shared" si="0"/>
        <v>44313.166666666664</v>
      </c>
      <c r="G15" s="1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15">
      <c r="A16" s="2"/>
      <c r="B16" s="10"/>
      <c r="C16" s="10"/>
      <c r="D16" s="10"/>
      <c r="E16" s="10"/>
      <c r="F16" s="10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15">
      <c r="A17" s="3" t="s">
        <v>25</v>
      </c>
      <c r="B17" s="18"/>
      <c r="C17" s="18"/>
      <c r="D17" s="18"/>
      <c r="E17" s="18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15">
      <c r="A18" s="2" t="s">
        <v>26</v>
      </c>
      <c r="B18" s="6">
        <v>2347.34</v>
      </c>
      <c r="C18" s="6"/>
      <c r="D18" s="7">
        <f>B18+Jan!C18</f>
        <v>4686.6499999999996</v>
      </c>
      <c r="E18" s="7">
        <f>'Budget by Month'!C19</f>
        <v>2474.0833333333335</v>
      </c>
      <c r="F18" s="7">
        <f>E18+Jan!E18</f>
        <v>4948.166666666667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15">
      <c r="A19" s="2" t="s">
        <v>35</v>
      </c>
      <c r="B19" s="7">
        <v>0</v>
      </c>
      <c r="C19" s="7"/>
      <c r="D19" s="7">
        <f>B19+Jan!C19</f>
        <v>0</v>
      </c>
      <c r="E19" s="7">
        <f>'Budget by Month'!C20</f>
        <v>83.333333333333329</v>
      </c>
      <c r="F19" s="7">
        <f>E19+Jan!E19</f>
        <v>166.66666666666666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15">
      <c r="A20" s="2" t="s">
        <v>27</v>
      </c>
      <c r="B20" s="6">
        <v>73.12</v>
      </c>
      <c r="C20" s="6"/>
      <c r="D20" s="7">
        <f>B20+Jan!C20</f>
        <v>498.62</v>
      </c>
      <c r="E20" s="7">
        <f>'Budget by Month'!C21</f>
        <v>400</v>
      </c>
      <c r="F20" s="7">
        <f>E20+Jan!E20</f>
        <v>800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15">
      <c r="A21" s="2" t="s">
        <v>28</v>
      </c>
      <c r="B21" s="6">
        <v>7507.65</v>
      </c>
      <c r="C21" s="6"/>
      <c r="D21" s="7">
        <f>B21+Jan!C21</f>
        <v>15245.75</v>
      </c>
      <c r="E21" s="7">
        <f>'Budget by Month'!C22</f>
        <v>9107.4166666666661</v>
      </c>
      <c r="F21" s="7">
        <f>E21+Jan!E21</f>
        <v>18214.833333333332</v>
      </c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15">
      <c r="A22" s="2" t="s">
        <v>34</v>
      </c>
      <c r="B22" s="7"/>
      <c r="C22" s="7"/>
      <c r="D22" s="7">
        <f>B22+Jan!C22</f>
        <v>0</v>
      </c>
      <c r="E22" s="7">
        <f>'Budget by Month'!C23</f>
        <v>1737.5</v>
      </c>
      <c r="F22" s="7">
        <f>E22+Jan!E22</f>
        <v>3475</v>
      </c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15">
      <c r="A23" s="2" t="s">
        <v>29</v>
      </c>
      <c r="B23" s="6">
        <v>-250.46</v>
      </c>
      <c r="C23" s="6"/>
      <c r="D23" s="7">
        <f>B23+Jan!C23</f>
        <v>281.89999999999998</v>
      </c>
      <c r="E23" s="7">
        <f>'Budget by Month'!C24</f>
        <v>0</v>
      </c>
      <c r="F23" s="7">
        <f>E23+Jan!E23</f>
        <v>0</v>
      </c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15">
      <c r="A24" s="2" t="s">
        <v>30</v>
      </c>
      <c r="B24" s="6">
        <v>6786.4</v>
      </c>
      <c r="C24" s="6"/>
      <c r="D24" s="7">
        <f>B24+Jan!C24</f>
        <v>15930.09</v>
      </c>
      <c r="E24" s="7">
        <f>'Budget by Month'!C25</f>
        <v>5244.833333333333</v>
      </c>
      <c r="F24" s="7">
        <f>E24+Jan!E24</f>
        <v>10489.666666666666</v>
      </c>
      <c r="G24" s="7"/>
      <c r="H24" s="8" t="s">
        <v>59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15">
      <c r="A25" s="2" t="s">
        <v>32</v>
      </c>
      <c r="B25" s="6">
        <v>3755.26</v>
      </c>
      <c r="C25" s="6"/>
      <c r="D25" s="7">
        <f>B25+Jan!C25</f>
        <v>6786.82</v>
      </c>
      <c r="E25" s="7">
        <f>'Budget by Month'!C26</f>
        <v>3305.58</v>
      </c>
      <c r="F25" s="7">
        <f>E25+Jan!E25</f>
        <v>6611.16</v>
      </c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15">
      <c r="A26" s="2" t="s">
        <v>36</v>
      </c>
      <c r="B26" s="7"/>
      <c r="C26" s="7"/>
      <c r="D26" s="7">
        <f>B26</f>
        <v>0</v>
      </c>
      <c r="E26" s="7">
        <f>'Budget by Month'!C27</f>
        <v>2028</v>
      </c>
      <c r="F26" s="7">
        <f>E26+Jan!E26</f>
        <v>4056</v>
      </c>
      <c r="G26" s="7"/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15">
      <c r="A27" s="2" t="s">
        <v>38</v>
      </c>
      <c r="B27" s="16">
        <f>SUM(B18:B26)</f>
        <v>20219.310000000005</v>
      </c>
      <c r="C27" s="16"/>
      <c r="D27" s="16">
        <f t="shared" ref="D27:E27" si="1">SUM(D18:D26)</f>
        <v>43429.83</v>
      </c>
      <c r="E27" s="16">
        <f t="shared" si="1"/>
        <v>24380.746666666666</v>
      </c>
      <c r="F27" s="16"/>
      <c r="G27" s="16">
        <f>SUM(G18:G26)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15">
      <c r="A29" s="2"/>
      <c r="B29" s="23">
        <v>42794</v>
      </c>
      <c r="C29" s="23"/>
      <c r="D29" s="23">
        <v>43159</v>
      </c>
      <c r="E29" s="24" t="s">
        <v>39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15">
      <c r="A30" s="2" t="s">
        <v>0</v>
      </c>
      <c r="B30" s="6">
        <v>16514</v>
      </c>
      <c r="C30" s="6"/>
      <c r="D30" s="7">
        <f>B15</f>
        <v>16279.289999999999</v>
      </c>
      <c r="E30" s="7">
        <f>G15/12</f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15">
      <c r="A31" s="2"/>
      <c r="B31" s="10"/>
      <c r="C31" s="10"/>
      <c r="D31" s="10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15">
      <c r="A32" s="2"/>
      <c r="B32" s="10"/>
      <c r="C32" s="10"/>
      <c r="D32" s="10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15">
      <c r="A33" s="2" t="s">
        <v>25</v>
      </c>
      <c r="B33" s="6">
        <v>25490</v>
      </c>
      <c r="C33" s="6"/>
      <c r="D33" s="7">
        <f>B27</f>
        <v>20219.310000000005</v>
      </c>
      <c r="E33" s="7">
        <f>E27</f>
        <v>24380.746666666666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15">
      <c r="A34" s="2"/>
      <c r="B34" s="2" t="s">
        <v>42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15">
      <c r="A35" s="2" t="s">
        <v>43</v>
      </c>
      <c r="B35" s="29">
        <f>-1601.97</f>
        <v>-1601.97</v>
      </c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15">
      <c r="A36" s="2" t="s">
        <v>44</v>
      </c>
      <c r="B36" s="29">
        <f>45214.64-B37</f>
        <v>32009.64</v>
      </c>
      <c r="C36" s="29">
        <f>B36-10200-Mar!B4+50</f>
        <v>20419.64</v>
      </c>
      <c r="D36" s="30">
        <f>B36+B35</f>
        <v>30407.67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15">
      <c r="A37" s="2" t="s">
        <v>36</v>
      </c>
      <c r="B37" s="31">
        <f>10236+1157+1812</f>
        <v>13205</v>
      </c>
      <c r="C37" s="3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15">
      <c r="A39" s="8" t="s">
        <v>60</v>
      </c>
      <c r="B39" s="30">
        <f>SUM(B35:B37)</f>
        <v>43612.67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Sept</vt:lpstr>
      <vt:lpstr>Aug</vt:lpstr>
      <vt:lpstr>July</vt:lpstr>
      <vt:lpstr>June ALT</vt:lpstr>
      <vt:lpstr>June</vt:lpstr>
      <vt:lpstr>May</vt:lpstr>
      <vt:lpstr>Apr</vt:lpstr>
      <vt:lpstr>Mar</vt:lpstr>
      <vt:lpstr>Feb</vt:lpstr>
      <vt:lpstr>Jan</vt:lpstr>
      <vt:lpstr>Budget by Month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Halgren</cp:lastModifiedBy>
  <cp:lastPrinted>2018-10-19T14:44:14Z</cp:lastPrinted>
  <dcterms:created xsi:type="dcterms:W3CDTF">2018-10-14T22:50:55Z</dcterms:created>
  <dcterms:modified xsi:type="dcterms:W3CDTF">2018-10-19T14:44:57Z</dcterms:modified>
</cp:coreProperties>
</file>